
<file path=[Content_Types].xml><?xml version="1.0" encoding="utf-8"?>
<Types xmlns="http://schemas.openxmlformats.org/package/2006/content-types">
  <Default Extension="jpeg" ContentType="image/jpeg"/>
  <Default Extension="JPG" ContentType="image/.jpg"/>
  <Default Extension="png" ContentType="image/png"/>
  <Default Extension="bmp" ContentType="image/bmp"/>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945" firstSheet="2"/>
  </bookViews>
  <sheets>
    <sheet name="音乐、语言教室" sheetId="1" r:id="rId1"/>
    <sheet name="科学教室" sheetId="2" r:id="rId2"/>
    <sheet name="心理咨询、观察" sheetId="3" r:id="rId3"/>
    <sheet name="卫生保健" sheetId="5" r:id="rId4"/>
    <sheet name="计算机教室" sheetId="6" r:id="rId5"/>
    <sheet name="劳动教室" sheetId="8" r:id="rId6"/>
    <sheet name="书法美术" sheetId="9" r:id="rId7"/>
    <sheet name="体质测试室" sheetId="10" r:id="rId8"/>
    <sheet name="舞蹈教室" sheetId="12" r:id="rId9"/>
    <sheet name="体育用品" sheetId="13" r:id="rId10"/>
    <sheet name="其它学校 增补项目" sheetId="14" r:id="rId11"/>
  </sheets>
  <definedNames>
    <definedName name="市场单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47CD91B4CE76427BB6F1DC00AC4D7462" descr="960身高体重"/>
        <xdr:cNvPicPr>
          <a:picLocks noChangeAspect="1"/>
        </xdr:cNvPicPr>
      </xdr:nvPicPr>
      <xdr:blipFill>
        <a:blip r:embed="rId1"/>
        <a:stretch>
          <a:fillRect/>
        </a:stretch>
      </xdr:blipFill>
      <xdr:spPr>
        <a:xfrm>
          <a:off x="10216515" y="699770"/>
          <a:ext cx="878840" cy="1320165"/>
        </a:xfrm>
        <a:prstGeom prst="rect">
          <a:avLst/>
        </a:prstGeom>
        <a:noFill/>
        <a:ln w="9525">
          <a:noFill/>
        </a:ln>
      </xdr:spPr>
    </xdr:pic>
  </etc:cellImage>
  <etc:cellImage>
    <xdr:pic>
      <xdr:nvPicPr>
        <xdr:cNvPr id="3" name="ID_D539374321A84B51B960A0B77DCF6F51" descr="2-肺活量"/>
        <xdr:cNvPicPr>
          <a:picLocks noChangeAspect="1"/>
        </xdr:cNvPicPr>
      </xdr:nvPicPr>
      <xdr:blipFill>
        <a:blip r:embed="rId2"/>
        <a:stretch>
          <a:fillRect/>
        </a:stretch>
      </xdr:blipFill>
      <xdr:spPr>
        <a:xfrm>
          <a:off x="9963150" y="2432685"/>
          <a:ext cx="1555115" cy="1038860"/>
        </a:xfrm>
        <a:prstGeom prst="rect">
          <a:avLst/>
        </a:prstGeom>
        <a:noFill/>
        <a:ln w="9525">
          <a:noFill/>
        </a:ln>
      </xdr:spPr>
    </xdr:pic>
  </etc:cellImage>
  <etc:cellImage>
    <xdr:pic>
      <xdr:nvPicPr>
        <xdr:cNvPr id="4" name="ID_A45B9D723B69491E8168AE5BC9CED3B9" descr="3-坐位体前屈"/>
        <xdr:cNvPicPr>
          <a:picLocks noChangeAspect="1"/>
        </xdr:cNvPicPr>
      </xdr:nvPicPr>
      <xdr:blipFill>
        <a:blip r:embed="rId3"/>
        <a:stretch>
          <a:fillRect/>
        </a:stretch>
      </xdr:blipFill>
      <xdr:spPr>
        <a:xfrm>
          <a:off x="9963150" y="3986530"/>
          <a:ext cx="1732915" cy="1158240"/>
        </a:xfrm>
        <a:prstGeom prst="rect">
          <a:avLst/>
        </a:prstGeom>
        <a:noFill/>
        <a:ln w="9525">
          <a:noFill/>
        </a:ln>
      </xdr:spPr>
    </xdr:pic>
  </etc:cellImage>
  <etc:cellImage>
    <xdr:pic>
      <xdr:nvPicPr>
        <xdr:cNvPr id="5" name="ID_AAF69C7E14DE498DBE7734E6B8442079" descr="960仰卧起坐"/>
        <xdr:cNvPicPr>
          <a:picLocks noChangeAspect="1"/>
        </xdr:cNvPicPr>
      </xdr:nvPicPr>
      <xdr:blipFill>
        <a:blip r:embed="rId4"/>
        <a:stretch>
          <a:fillRect/>
        </a:stretch>
      </xdr:blipFill>
      <xdr:spPr>
        <a:xfrm>
          <a:off x="9857740" y="5723255"/>
          <a:ext cx="1750695" cy="798195"/>
        </a:xfrm>
        <a:prstGeom prst="rect">
          <a:avLst/>
        </a:prstGeom>
        <a:noFill/>
        <a:ln w="9525">
          <a:noFill/>
        </a:ln>
      </xdr:spPr>
    </xdr:pic>
  </etc:cellImage>
  <etc:cellImage>
    <xdr:pic>
      <xdr:nvPicPr>
        <xdr:cNvPr id="6" name="ID_5D6F0D357DED44A09EA457F77E27C037" descr="7-跳绳"/>
        <xdr:cNvPicPr>
          <a:picLocks noChangeAspect="1"/>
        </xdr:cNvPicPr>
      </xdr:nvPicPr>
      <xdr:blipFill>
        <a:blip r:embed="rId5"/>
        <a:stretch>
          <a:fillRect/>
        </a:stretch>
      </xdr:blipFill>
      <xdr:spPr>
        <a:xfrm>
          <a:off x="9970770" y="7150100"/>
          <a:ext cx="1644015" cy="1097915"/>
        </a:xfrm>
        <a:prstGeom prst="rect">
          <a:avLst/>
        </a:prstGeom>
        <a:noFill/>
        <a:ln w="9525">
          <a:noFill/>
        </a:ln>
      </xdr:spPr>
    </xdr:pic>
  </etc:cellImage>
  <etc:cellImage>
    <xdr:pic>
      <xdr:nvPicPr>
        <xdr:cNvPr id="7" name="ID_39A1F0193EBE4CD4ABEABACFEAA4ADB4" descr="96050米跑4人测"/>
        <xdr:cNvPicPr>
          <a:picLocks noChangeAspect="1"/>
        </xdr:cNvPicPr>
      </xdr:nvPicPr>
      <xdr:blipFill>
        <a:blip r:embed="rId6"/>
        <a:stretch>
          <a:fillRect/>
        </a:stretch>
      </xdr:blipFill>
      <xdr:spPr>
        <a:xfrm>
          <a:off x="10062210" y="8667750"/>
          <a:ext cx="1403985" cy="1202690"/>
        </a:xfrm>
        <a:prstGeom prst="rect">
          <a:avLst/>
        </a:prstGeom>
        <a:noFill/>
        <a:ln w="9525">
          <a:noFill/>
        </a:ln>
      </xdr:spPr>
    </xdr:pic>
  </etc:cellImage>
  <etc:cellImage>
    <xdr:pic>
      <xdr:nvPicPr>
        <xdr:cNvPr id="8" name="ID_D0D5117C272B432892FFD46D07B88FE2" descr="960往返跑-2人测"/>
        <xdr:cNvPicPr>
          <a:picLocks noChangeAspect="1"/>
        </xdr:cNvPicPr>
      </xdr:nvPicPr>
      <xdr:blipFill>
        <a:blip r:embed="rId7"/>
        <a:stretch>
          <a:fillRect/>
        </a:stretch>
      </xdr:blipFill>
      <xdr:spPr>
        <a:xfrm>
          <a:off x="10069195" y="10419080"/>
          <a:ext cx="1382395" cy="923290"/>
        </a:xfrm>
        <a:prstGeom prst="rect">
          <a:avLst/>
        </a:prstGeom>
        <a:noFill/>
        <a:ln w="9525">
          <a:noFill/>
        </a:ln>
      </xdr:spPr>
    </xdr:pic>
  </etc:cellImage>
  <etc:cellImage>
    <xdr:pic>
      <xdr:nvPicPr>
        <xdr:cNvPr id="156" name="ID_FFD67F0DF04647ED9EDD13AAC8891295"/>
        <xdr:cNvPicPr>
          <a:picLocks noChangeAspect="1"/>
        </xdr:cNvPicPr>
      </xdr:nvPicPr>
      <xdr:blipFill>
        <a:blip r:embed="rId8"/>
        <a:stretch>
          <a:fillRect/>
        </a:stretch>
      </xdr:blipFill>
      <xdr:spPr>
        <a:xfrm>
          <a:off x="8175625" y="942975"/>
          <a:ext cx="1362075" cy="762635"/>
        </a:xfrm>
        <a:prstGeom prst="rect">
          <a:avLst/>
        </a:prstGeom>
      </xdr:spPr>
    </xdr:pic>
  </etc:cellImage>
  <etc:cellImage>
    <xdr:pic>
      <xdr:nvPicPr>
        <xdr:cNvPr id="121" name="ID_DC99E1B9338D4E15896C66F134EE050C"/>
        <xdr:cNvPicPr>
          <a:picLocks noChangeAspect="1"/>
        </xdr:cNvPicPr>
      </xdr:nvPicPr>
      <xdr:blipFill>
        <a:blip r:embed="rId9"/>
        <a:stretch>
          <a:fillRect/>
        </a:stretch>
      </xdr:blipFill>
      <xdr:spPr>
        <a:xfrm>
          <a:off x="8356600" y="3070860"/>
          <a:ext cx="1009015" cy="747395"/>
        </a:xfrm>
        <a:prstGeom prst="rect">
          <a:avLst/>
        </a:prstGeom>
      </xdr:spPr>
    </xdr:pic>
  </etc:cellImage>
  <etc:cellImage>
    <xdr:pic>
      <xdr:nvPicPr>
        <xdr:cNvPr id="160" name="ID_3463D0F8AC1D4414AB2F4A800AA525D7"/>
        <xdr:cNvPicPr>
          <a:picLocks noChangeAspect="1"/>
        </xdr:cNvPicPr>
      </xdr:nvPicPr>
      <xdr:blipFill>
        <a:blip r:embed="rId10"/>
        <a:stretch>
          <a:fillRect/>
        </a:stretch>
      </xdr:blipFill>
      <xdr:spPr>
        <a:xfrm>
          <a:off x="8099425" y="3909060"/>
          <a:ext cx="1555115" cy="871855"/>
        </a:xfrm>
        <a:prstGeom prst="rect">
          <a:avLst/>
        </a:prstGeom>
      </xdr:spPr>
    </xdr:pic>
  </etc:cellImage>
  <etc:cellImage>
    <xdr:pic>
      <xdr:nvPicPr>
        <xdr:cNvPr id="161" name="ID_A5C0E9D1A45E4E2EB736B9435D5BA8C8"/>
        <xdr:cNvPicPr>
          <a:picLocks noChangeAspect="1"/>
        </xdr:cNvPicPr>
      </xdr:nvPicPr>
      <xdr:blipFill>
        <a:blip r:embed="rId11"/>
        <a:stretch>
          <a:fillRect/>
        </a:stretch>
      </xdr:blipFill>
      <xdr:spPr>
        <a:xfrm>
          <a:off x="8613775" y="4848225"/>
          <a:ext cx="401955" cy="596900"/>
        </a:xfrm>
        <a:prstGeom prst="rect">
          <a:avLst/>
        </a:prstGeom>
      </xdr:spPr>
    </xdr:pic>
  </etc:cellImage>
  <etc:cellImage>
    <xdr:pic>
      <xdr:nvPicPr>
        <xdr:cNvPr id="159" name="ID_CDDE1ED9F60247C1B9BF8B0C56394EA6"/>
        <xdr:cNvPicPr>
          <a:picLocks noChangeAspect="1"/>
        </xdr:cNvPicPr>
      </xdr:nvPicPr>
      <xdr:blipFill>
        <a:blip r:embed="rId12"/>
        <a:stretch>
          <a:fillRect/>
        </a:stretch>
      </xdr:blipFill>
      <xdr:spPr>
        <a:xfrm>
          <a:off x="8213725" y="5695950"/>
          <a:ext cx="1334770" cy="640080"/>
        </a:xfrm>
        <a:prstGeom prst="rect">
          <a:avLst/>
        </a:prstGeom>
      </xdr:spPr>
    </xdr:pic>
  </etc:cellImage>
  <etc:cellImage>
    <xdr:pic>
      <xdr:nvPicPr>
        <xdr:cNvPr id="169" name="ID_A6F023016A7542C785772D73C4FE0AA6"/>
        <xdr:cNvPicPr>
          <a:picLocks noChangeAspect="1"/>
        </xdr:cNvPicPr>
      </xdr:nvPicPr>
      <xdr:blipFill>
        <a:blip r:embed="rId13"/>
        <a:stretch>
          <a:fillRect/>
        </a:stretch>
      </xdr:blipFill>
      <xdr:spPr>
        <a:xfrm>
          <a:off x="8289925" y="7705725"/>
          <a:ext cx="1163955" cy="792480"/>
        </a:xfrm>
        <a:prstGeom prst="rect">
          <a:avLst/>
        </a:prstGeom>
      </xdr:spPr>
    </xdr:pic>
  </etc:cellImage>
  <etc:cellImage>
    <xdr:pic>
      <xdr:nvPicPr>
        <xdr:cNvPr id="107" name="ID_EFFC27766C774434B99B822D30DB9E85"/>
        <xdr:cNvPicPr>
          <a:picLocks noChangeAspect="1"/>
        </xdr:cNvPicPr>
      </xdr:nvPicPr>
      <xdr:blipFill>
        <a:blip r:embed="rId14" cstate="print"/>
        <a:stretch>
          <a:fillRect/>
        </a:stretch>
      </xdr:blipFill>
      <xdr:spPr>
        <a:xfrm>
          <a:off x="8502015" y="8618220"/>
          <a:ext cx="891540" cy="722630"/>
        </a:xfrm>
        <a:prstGeom prst="rect">
          <a:avLst/>
        </a:prstGeom>
        <a:noFill/>
        <a:ln w="9525">
          <a:noFill/>
        </a:ln>
      </xdr:spPr>
    </xdr:pic>
  </etc:cellImage>
  <etc:cellImage>
    <xdr:pic>
      <xdr:nvPicPr>
        <xdr:cNvPr id="155" name="ID_036DC7FDE1B541B5A3037C6AB9C3EC36"/>
        <xdr:cNvPicPr>
          <a:picLocks noChangeAspect="1"/>
        </xdr:cNvPicPr>
      </xdr:nvPicPr>
      <xdr:blipFill>
        <a:blip r:embed="rId15"/>
        <a:stretch>
          <a:fillRect/>
        </a:stretch>
      </xdr:blipFill>
      <xdr:spPr>
        <a:xfrm>
          <a:off x="8509000" y="9534525"/>
          <a:ext cx="840740" cy="615315"/>
        </a:xfrm>
        <a:prstGeom prst="rect">
          <a:avLst/>
        </a:prstGeom>
      </xdr:spPr>
    </xdr:pic>
  </etc:cellImage>
  <etc:cellImage>
    <xdr:pic>
      <xdr:nvPicPr>
        <xdr:cNvPr id="122" name="ID_187CF2D0F303449387A687923A902BEE"/>
        <xdr:cNvPicPr>
          <a:picLocks noChangeAspect="1"/>
        </xdr:cNvPicPr>
      </xdr:nvPicPr>
      <xdr:blipFill>
        <a:blip r:embed="rId16"/>
        <a:stretch>
          <a:fillRect/>
        </a:stretch>
      </xdr:blipFill>
      <xdr:spPr>
        <a:xfrm>
          <a:off x="8608060" y="12106910"/>
          <a:ext cx="643890" cy="816610"/>
        </a:xfrm>
        <a:prstGeom prst="rect">
          <a:avLst/>
        </a:prstGeom>
      </xdr:spPr>
    </xdr:pic>
  </etc:cellImage>
  <etc:cellImage>
    <xdr:pic>
      <xdr:nvPicPr>
        <xdr:cNvPr id="143" name="ID_C5C724A1D417403DABF6DB772DF3DCE1"/>
        <xdr:cNvPicPr>
          <a:picLocks noChangeAspect="1"/>
        </xdr:cNvPicPr>
      </xdr:nvPicPr>
      <xdr:blipFill>
        <a:blip r:embed="rId17"/>
        <a:stretch>
          <a:fillRect/>
        </a:stretch>
      </xdr:blipFill>
      <xdr:spPr>
        <a:xfrm>
          <a:off x="8620125" y="13087350"/>
          <a:ext cx="802005" cy="666115"/>
        </a:xfrm>
        <a:prstGeom prst="rect">
          <a:avLst/>
        </a:prstGeom>
      </xdr:spPr>
    </xdr:pic>
  </etc:cellImage>
  <etc:cellImage>
    <xdr:pic>
      <xdr:nvPicPr>
        <xdr:cNvPr id="125" name="ID_999BFA316B624ACAAE880F767922F685"/>
        <xdr:cNvPicPr>
          <a:picLocks noChangeAspect="1"/>
        </xdr:cNvPicPr>
      </xdr:nvPicPr>
      <xdr:blipFill>
        <a:blip r:embed="rId18"/>
        <a:stretch>
          <a:fillRect/>
        </a:stretch>
      </xdr:blipFill>
      <xdr:spPr>
        <a:xfrm>
          <a:off x="8557260" y="14751685"/>
          <a:ext cx="975360" cy="731520"/>
        </a:xfrm>
        <a:prstGeom prst="rect">
          <a:avLst/>
        </a:prstGeom>
      </xdr:spPr>
    </xdr:pic>
  </etc:cellImage>
  <etc:cellImage>
    <xdr:pic>
      <xdr:nvPicPr>
        <xdr:cNvPr id="149" name="ID_610254417FEF467DA1CC5760EC3C3A7B"/>
        <xdr:cNvPicPr>
          <a:picLocks noChangeAspect="1"/>
        </xdr:cNvPicPr>
      </xdr:nvPicPr>
      <xdr:blipFill>
        <a:blip r:embed="rId19"/>
        <a:stretch>
          <a:fillRect/>
        </a:stretch>
      </xdr:blipFill>
      <xdr:spPr>
        <a:xfrm>
          <a:off x="8632825" y="15697200"/>
          <a:ext cx="694690" cy="682625"/>
        </a:xfrm>
        <a:prstGeom prst="rect">
          <a:avLst/>
        </a:prstGeom>
      </xdr:spPr>
    </xdr:pic>
  </etc:cellImage>
  <etc:cellImage>
    <xdr:pic>
      <xdr:nvPicPr>
        <xdr:cNvPr id="158" name="ID_AAB56E9B4999447A8407258A76AE5E3C"/>
        <xdr:cNvPicPr>
          <a:picLocks noChangeAspect="1"/>
        </xdr:cNvPicPr>
      </xdr:nvPicPr>
      <xdr:blipFill>
        <a:blip r:embed="rId20"/>
        <a:stretch>
          <a:fillRect/>
        </a:stretch>
      </xdr:blipFill>
      <xdr:spPr>
        <a:xfrm>
          <a:off x="8709025" y="16535400"/>
          <a:ext cx="542925" cy="762000"/>
        </a:xfrm>
        <a:prstGeom prst="rect">
          <a:avLst/>
        </a:prstGeom>
      </xdr:spPr>
    </xdr:pic>
  </etc:cellImage>
  <etc:cellImage>
    <xdr:pic>
      <xdr:nvPicPr>
        <xdr:cNvPr id="150" name="ID_9F35DB5AC2CC4EC2ABF779D95C94D0BA"/>
        <xdr:cNvPicPr>
          <a:picLocks noChangeAspect="1"/>
        </xdr:cNvPicPr>
      </xdr:nvPicPr>
      <xdr:blipFill>
        <a:blip r:embed="rId21"/>
        <a:stretch>
          <a:fillRect/>
        </a:stretch>
      </xdr:blipFill>
      <xdr:spPr>
        <a:xfrm>
          <a:off x="8632825" y="17564100"/>
          <a:ext cx="713105" cy="749300"/>
        </a:xfrm>
        <a:prstGeom prst="rect">
          <a:avLst/>
        </a:prstGeom>
      </xdr:spPr>
    </xdr:pic>
  </etc:cellImage>
  <etc:cellImage>
    <xdr:pic>
      <xdr:nvPicPr>
        <xdr:cNvPr id="151" name="ID_76A86041F45247BF8C0F5C0712AB20C4"/>
        <xdr:cNvPicPr>
          <a:picLocks noChangeAspect="1"/>
        </xdr:cNvPicPr>
      </xdr:nvPicPr>
      <xdr:blipFill>
        <a:blip r:embed="rId22"/>
        <a:stretch>
          <a:fillRect/>
        </a:stretch>
      </xdr:blipFill>
      <xdr:spPr>
        <a:xfrm>
          <a:off x="8575675" y="18516600"/>
          <a:ext cx="901700" cy="621665"/>
        </a:xfrm>
        <a:prstGeom prst="rect">
          <a:avLst/>
        </a:prstGeom>
      </xdr:spPr>
    </xdr:pic>
  </etc:cellImage>
  <etc:cellImage>
    <xdr:pic>
      <xdr:nvPicPr>
        <xdr:cNvPr id="115" name="ID_C5632219C568400A983A41C22EA2FF4E" descr="f0d442385e909ea97837c504dd027c6"/>
        <xdr:cNvPicPr>
          <a:picLocks noChangeAspect="1"/>
        </xdr:cNvPicPr>
      </xdr:nvPicPr>
      <xdr:blipFill>
        <a:blip r:embed="rId23" cstate="print"/>
        <a:stretch>
          <a:fillRect/>
        </a:stretch>
      </xdr:blipFill>
      <xdr:spPr>
        <a:xfrm>
          <a:off x="8529320" y="19320510"/>
          <a:ext cx="986155" cy="744855"/>
        </a:xfrm>
        <a:prstGeom prst="rect">
          <a:avLst/>
        </a:prstGeom>
      </xdr:spPr>
    </xdr:pic>
  </etc:cellImage>
  <etc:cellImage>
    <xdr:pic>
      <xdr:nvPicPr>
        <xdr:cNvPr id="114" name="ID_B7E6F5E0290244F288CA6E1AFB51084B"/>
        <xdr:cNvPicPr>
          <a:picLocks noChangeAspect="1"/>
        </xdr:cNvPicPr>
      </xdr:nvPicPr>
      <xdr:blipFill>
        <a:blip r:embed="rId24" cstate="print"/>
        <a:stretch>
          <a:fillRect/>
        </a:stretch>
      </xdr:blipFill>
      <xdr:spPr>
        <a:xfrm>
          <a:off x="8526780" y="20191095"/>
          <a:ext cx="925195" cy="715645"/>
        </a:xfrm>
        <a:prstGeom prst="rect">
          <a:avLst/>
        </a:prstGeom>
        <a:noFill/>
        <a:ln w="9525">
          <a:noFill/>
        </a:ln>
      </xdr:spPr>
    </xdr:pic>
  </etc:cellImage>
  <etc:cellImage>
    <xdr:pic>
      <xdr:nvPicPr>
        <xdr:cNvPr id="173" name="ID_94E755AD01A645788918A544CFE64030"/>
        <xdr:cNvPicPr>
          <a:picLocks noChangeAspect="1"/>
        </xdr:cNvPicPr>
      </xdr:nvPicPr>
      <xdr:blipFill>
        <a:blip r:embed="rId25"/>
        <a:stretch>
          <a:fillRect/>
        </a:stretch>
      </xdr:blipFill>
      <xdr:spPr>
        <a:xfrm>
          <a:off x="8556625" y="46205775"/>
          <a:ext cx="840740" cy="731520"/>
        </a:xfrm>
        <a:prstGeom prst="rect">
          <a:avLst/>
        </a:prstGeom>
      </xdr:spPr>
    </xdr:pic>
  </etc:cellImage>
  <etc:cellImage>
    <xdr:pic>
      <xdr:nvPicPr>
        <xdr:cNvPr id="174" name="ID_EA4D08F27F33421C99750B3E1FF1C29E"/>
        <xdr:cNvPicPr>
          <a:picLocks noChangeAspect="1"/>
        </xdr:cNvPicPr>
      </xdr:nvPicPr>
      <xdr:blipFill>
        <a:blip r:embed="rId26"/>
        <a:stretch>
          <a:fillRect/>
        </a:stretch>
      </xdr:blipFill>
      <xdr:spPr>
        <a:xfrm>
          <a:off x="8528050" y="46977300"/>
          <a:ext cx="901700" cy="621665"/>
        </a:xfrm>
        <a:prstGeom prst="rect">
          <a:avLst/>
        </a:prstGeom>
      </xdr:spPr>
    </xdr:pic>
  </etc:cellImage>
  <etc:cellImage>
    <xdr:pic>
      <xdr:nvPicPr>
        <xdr:cNvPr id="144" name="ID_9DE9D268CE8C48EAAE57A88EFFD0B9B2"/>
        <xdr:cNvPicPr>
          <a:picLocks noChangeAspect="1"/>
        </xdr:cNvPicPr>
      </xdr:nvPicPr>
      <xdr:blipFill>
        <a:blip r:embed="rId27"/>
        <a:stretch>
          <a:fillRect/>
        </a:stretch>
      </xdr:blipFill>
      <xdr:spPr>
        <a:xfrm>
          <a:off x="8442325" y="48567975"/>
          <a:ext cx="1009650" cy="721995"/>
        </a:xfrm>
        <a:prstGeom prst="rect">
          <a:avLst/>
        </a:prstGeom>
      </xdr:spPr>
    </xdr:pic>
  </etc:cellImage>
  <etc:cellImage>
    <xdr:pic>
      <xdr:nvPicPr>
        <xdr:cNvPr id="139" name="ID_FA8458643910497BBE94FC198A35C9AF"/>
        <xdr:cNvPicPr>
          <a:picLocks noChangeAspect="1"/>
        </xdr:cNvPicPr>
      </xdr:nvPicPr>
      <xdr:blipFill>
        <a:blip r:embed="rId28"/>
        <a:stretch>
          <a:fillRect/>
        </a:stretch>
      </xdr:blipFill>
      <xdr:spPr>
        <a:xfrm>
          <a:off x="8501380" y="49472850"/>
          <a:ext cx="1045845" cy="702945"/>
        </a:xfrm>
        <a:prstGeom prst="rect">
          <a:avLst/>
        </a:prstGeom>
      </xdr:spPr>
    </xdr:pic>
  </etc:cellImage>
  <etc:cellImage>
    <xdr:pic>
      <xdr:nvPicPr>
        <xdr:cNvPr id="140" name="ID_1A3FCACBDEDB452EA57968CBA8965389"/>
        <xdr:cNvPicPr>
          <a:picLocks noChangeAspect="1"/>
        </xdr:cNvPicPr>
      </xdr:nvPicPr>
      <xdr:blipFill>
        <a:blip r:embed="rId29"/>
        <a:stretch>
          <a:fillRect/>
        </a:stretch>
      </xdr:blipFill>
      <xdr:spPr>
        <a:xfrm>
          <a:off x="8305165" y="50338990"/>
          <a:ext cx="1223010" cy="785495"/>
        </a:xfrm>
        <a:prstGeom prst="rect">
          <a:avLst/>
        </a:prstGeom>
      </xdr:spPr>
    </xdr:pic>
  </etc:cellImage>
  <etc:cellImage>
    <xdr:pic>
      <xdr:nvPicPr>
        <xdr:cNvPr id="176" name="ID_C326B115E53C418787F625D7CA821C5E"/>
        <xdr:cNvPicPr>
          <a:picLocks noChangeAspect="1"/>
        </xdr:cNvPicPr>
      </xdr:nvPicPr>
      <xdr:blipFill>
        <a:blip r:embed="rId30"/>
        <a:stretch>
          <a:fillRect/>
        </a:stretch>
      </xdr:blipFill>
      <xdr:spPr>
        <a:xfrm>
          <a:off x="8260715" y="54994175"/>
          <a:ext cx="1301750" cy="974725"/>
        </a:xfrm>
        <a:prstGeom prst="rect">
          <a:avLst/>
        </a:prstGeom>
      </xdr:spPr>
    </xdr:pic>
  </etc:cellImage>
  <etc:cellImage>
    <xdr:pic>
      <xdr:nvPicPr>
        <xdr:cNvPr id="123" name="ID_01F792B98456466F93D497491B6DBB2C" descr="带眼谱台"/>
        <xdr:cNvPicPr>
          <a:picLocks noChangeAspect="1"/>
        </xdr:cNvPicPr>
      </xdr:nvPicPr>
      <xdr:blipFill>
        <a:blip r:embed="rId31" cstate="print"/>
        <a:stretch>
          <a:fillRect/>
        </a:stretch>
      </xdr:blipFill>
      <xdr:spPr>
        <a:xfrm>
          <a:off x="8514715" y="56231790"/>
          <a:ext cx="824865" cy="692150"/>
        </a:xfrm>
        <a:prstGeom prst="rect">
          <a:avLst/>
        </a:prstGeom>
        <a:noFill/>
        <a:ln w="9525">
          <a:noFill/>
        </a:ln>
      </xdr:spPr>
    </xdr:pic>
  </etc:cellImage>
  <etc:cellImage>
    <xdr:pic>
      <xdr:nvPicPr>
        <xdr:cNvPr id="183" name="ID_19E42C009B7040B68D9D35C3D9714117"/>
        <xdr:cNvPicPr>
          <a:picLocks noChangeAspect="1"/>
        </xdr:cNvPicPr>
      </xdr:nvPicPr>
      <xdr:blipFill>
        <a:blip r:embed="rId32"/>
        <a:stretch>
          <a:fillRect/>
        </a:stretch>
      </xdr:blipFill>
      <xdr:spPr>
        <a:xfrm>
          <a:off x="8461375" y="57045225"/>
          <a:ext cx="962025" cy="745490"/>
        </a:xfrm>
        <a:prstGeom prst="rect">
          <a:avLst/>
        </a:prstGeom>
      </xdr:spPr>
    </xdr:pic>
  </etc:cellImage>
  <etc:cellImage>
    <xdr:pic>
      <xdr:nvPicPr>
        <xdr:cNvPr id="54" name="ID_B54584A7CE5747F6BC2CAF210ADF0521"/>
        <xdr:cNvPicPr>
          <a:picLocks noChangeAspect="1"/>
        </xdr:cNvPicPr>
      </xdr:nvPicPr>
      <xdr:blipFill>
        <a:blip r:embed="rId33"/>
        <a:stretch>
          <a:fillRect/>
        </a:stretch>
      </xdr:blipFill>
      <xdr:spPr>
        <a:xfrm>
          <a:off x="12365355" y="773430"/>
          <a:ext cx="899160" cy="655955"/>
        </a:xfrm>
        <a:prstGeom prst="rect">
          <a:avLst/>
        </a:prstGeom>
      </xdr:spPr>
    </xdr:pic>
  </etc:cellImage>
  <etc:cellImage>
    <xdr:pic>
      <xdr:nvPicPr>
        <xdr:cNvPr id="55" name="ID_ABD089436D604A24A60DCD01D94B1D5D" descr="微信图片_20240511154715123"/>
        <xdr:cNvPicPr>
          <a:picLocks noChangeAspect="1"/>
        </xdr:cNvPicPr>
      </xdr:nvPicPr>
      <xdr:blipFill>
        <a:blip r:embed="rId34"/>
        <a:stretch>
          <a:fillRect/>
        </a:stretch>
      </xdr:blipFill>
      <xdr:spPr>
        <a:xfrm>
          <a:off x="12355830" y="1697355"/>
          <a:ext cx="876300" cy="632460"/>
        </a:xfrm>
        <a:prstGeom prst="rect">
          <a:avLst/>
        </a:prstGeom>
      </xdr:spPr>
    </xdr:pic>
  </etc:cellImage>
  <etc:cellImage>
    <xdr:pic>
      <xdr:nvPicPr>
        <xdr:cNvPr id="71" name="ID_89668C22058B4B3586931C71F803F5F6"/>
        <xdr:cNvPicPr>
          <a:picLocks noChangeAspect="1"/>
        </xdr:cNvPicPr>
      </xdr:nvPicPr>
      <xdr:blipFill>
        <a:blip r:embed="rId35"/>
        <a:stretch>
          <a:fillRect/>
        </a:stretch>
      </xdr:blipFill>
      <xdr:spPr>
        <a:xfrm>
          <a:off x="12477750" y="2472690"/>
          <a:ext cx="645795" cy="645795"/>
        </a:xfrm>
        <a:prstGeom prst="rect">
          <a:avLst/>
        </a:prstGeom>
      </xdr:spPr>
    </xdr:pic>
  </etc:cellImage>
  <etc:cellImage>
    <xdr:pic>
      <xdr:nvPicPr>
        <xdr:cNvPr id="56" name="ID_04E86AE32D6A4909A62F1C7E3CF524B1" descr="简易生物主控"/>
        <xdr:cNvPicPr>
          <a:picLocks noChangeAspect="1"/>
        </xdr:cNvPicPr>
      </xdr:nvPicPr>
      <xdr:blipFill>
        <a:blip r:embed="rId36"/>
        <a:stretch>
          <a:fillRect/>
        </a:stretch>
      </xdr:blipFill>
      <xdr:spPr>
        <a:xfrm>
          <a:off x="12462510" y="3220085"/>
          <a:ext cx="708025" cy="586740"/>
        </a:xfrm>
        <a:prstGeom prst="rect">
          <a:avLst/>
        </a:prstGeom>
        <a:noFill/>
        <a:ln w="9525">
          <a:noFill/>
        </a:ln>
      </xdr:spPr>
    </xdr:pic>
  </etc:cellImage>
  <etc:cellImage>
    <xdr:pic>
      <xdr:nvPicPr>
        <xdr:cNvPr id="57" name="ID_A77C149F9EA14A13A8C184B1ED2AC423" descr="da354060ea3a2b58478c88a93679266"/>
        <xdr:cNvPicPr>
          <a:picLocks noChangeAspect="1"/>
        </xdr:cNvPicPr>
      </xdr:nvPicPr>
      <xdr:blipFill>
        <a:blip r:embed="rId37"/>
        <a:stretch>
          <a:fillRect/>
        </a:stretch>
      </xdr:blipFill>
      <xdr:spPr>
        <a:xfrm>
          <a:off x="12568555" y="3855720"/>
          <a:ext cx="548005" cy="608330"/>
        </a:xfrm>
        <a:prstGeom prst="rect">
          <a:avLst/>
        </a:prstGeom>
        <a:noFill/>
        <a:ln w="9525">
          <a:noFill/>
        </a:ln>
      </xdr:spPr>
    </xdr:pic>
  </etc:cellImage>
  <etc:cellImage>
    <xdr:pic>
      <xdr:nvPicPr>
        <xdr:cNvPr id="60" name="ID_34854A44DB864ABAA93C812215296DA4"/>
        <xdr:cNvPicPr>
          <a:picLocks noChangeAspect="1"/>
        </xdr:cNvPicPr>
      </xdr:nvPicPr>
      <xdr:blipFill>
        <a:blip r:embed="rId38"/>
        <a:stretch>
          <a:fillRect/>
        </a:stretch>
      </xdr:blipFill>
      <xdr:spPr>
        <a:xfrm>
          <a:off x="12611735" y="5292725"/>
          <a:ext cx="367030" cy="525145"/>
        </a:xfrm>
        <a:prstGeom prst="rect">
          <a:avLst/>
        </a:prstGeom>
      </xdr:spPr>
    </xdr:pic>
  </etc:cellImage>
  <etc:cellImage>
    <xdr:pic>
      <xdr:nvPicPr>
        <xdr:cNvPr id="59" name="ID_02D6FF77E3004997938C3B1FAEC8EF21"/>
        <xdr:cNvPicPr>
          <a:picLocks noChangeAspect="1"/>
        </xdr:cNvPicPr>
      </xdr:nvPicPr>
      <xdr:blipFill>
        <a:blip r:embed="rId39"/>
        <a:stretch>
          <a:fillRect/>
        </a:stretch>
      </xdr:blipFill>
      <xdr:spPr>
        <a:xfrm>
          <a:off x="12628245" y="5940425"/>
          <a:ext cx="332740" cy="521335"/>
        </a:xfrm>
        <a:prstGeom prst="rect">
          <a:avLst/>
        </a:prstGeom>
        <a:noFill/>
        <a:ln w="9525">
          <a:noFill/>
        </a:ln>
      </xdr:spPr>
    </xdr:pic>
  </etc:cellImage>
  <etc:cellImage>
    <xdr:pic>
      <xdr:nvPicPr>
        <xdr:cNvPr id="9" name="ID_B9EE59FA389548F583BFDF98D008F3E6"/>
        <xdr:cNvPicPr>
          <a:picLocks noChangeAspect="1"/>
        </xdr:cNvPicPr>
      </xdr:nvPicPr>
      <xdr:blipFill>
        <a:blip r:embed="rId40"/>
        <a:stretch>
          <a:fillRect/>
        </a:stretch>
      </xdr:blipFill>
      <xdr:spPr>
        <a:xfrm>
          <a:off x="12401550" y="7336155"/>
          <a:ext cx="766445" cy="590550"/>
        </a:xfrm>
        <a:prstGeom prst="rect">
          <a:avLst/>
        </a:prstGeom>
      </xdr:spPr>
    </xdr:pic>
  </etc:cellImage>
  <etc:cellImage>
    <xdr:pic>
      <xdr:nvPicPr>
        <xdr:cNvPr id="10" name="ID_356A67A083D54C22B00C726BA2F94285"/>
        <xdr:cNvPicPr>
          <a:picLocks noChangeAspect="1"/>
        </xdr:cNvPicPr>
      </xdr:nvPicPr>
      <xdr:blipFill>
        <a:blip r:embed="rId41"/>
        <a:stretch>
          <a:fillRect/>
        </a:stretch>
      </xdr:blipFill>
      <xdr:spPr>
        <a:xfrm>
          <a:off x="12392025" y="8088630"/>
          <a:ext cx="687705" cy="514350"/>
        </a:xfrm>
        <a:prstGeom prst="rect">
          <a:avLst/>
        </a:prstGeom>
      </xdr:spPr>
    </xdr:pic>
  </etc:cellImage>
  <etc:cellImage>
    <xdr:pic>
      <xdr:nvPicPr>
        <xdr:cNvPr id="11" name="ID_A95DD52E6F414276B12AD3BD5D5871BC"/>
        <xdr:cNvPicPr>
          <a:picLocks noChangeAspect="1"/>
        </xdr:cNvPicPr>
      </xdr:nvPicPr>
      <xdr:blipFill>
        <a:blip r:embed="rId42"/>
        <a:stretch>
          <a:fillRect/>
        </a:stretch>
      </xdr:blipFill>
      <xdr:spPr>
        <a:xfrm rot="5400000">
          <a:off x="12663170" y="8693150"/>
          <a:ext cx="438150" cy="942975"/>
        </a:xfrm>
        <a:prstGeom prst="rect">
          <a:avLst/>
        </a:prstGeom>
      </xdr:spPr>
    </xdr:pic>
  </etc:cellImage>
  <etc:cellImage>
    <xdr:pic>
      <xdr:nvPicPr>
        <xdr:cNvPr id="12" name="ID_0A9DEFBCDC654554B8CE68A055354CB4"/>
        <xdr:cNvPicPr>
          <a:picLocks noChangeAspect="1"/>
        </xdr:cNvPicPr>
      </xdr:nvPicPr>
      <xdr:blipFill>
        <a:blip r:embed="rId43"/>
        <a:stretch>
          <a:fillRect/>
        </a:stretch>
      </xdr:blipFill>
      <xdr:spPr>
        <a:xfrm>
          <a:off x="12449175" y="9793605"/>
          <a:ext cx="723900" cy="542925"/>
        </a:xfrm>
        <a:prstGeom prst="rect">
          <a:avLst/>
        </a:prstGeom>
      </xdr:spPr>
    </xdr:pic>
  </etc:cellImage>
  <etc:cellImage>
    <xdr:pic>
      <xdr:nvPicPr>
        <xdr:cNvPr id="13" name="ID_DBA15C9750AF46E7BC4B0FF8C6DE8963"/>
        <xdr:cNvPicPr>
          <a:picLocks noChangeAspect="1"/>
        </xdr:cNvPicPr>
      </xdr:nvPicPr>
      <xdr:blipFill>
        <a:blip r:embed="rId44"/>
        <a:stretch>
          <a:fillRect/>
        </a:stretch>
      </xdr:blipFill>
      <xdr:spPr>
        <a:xfrm>
          <a:off x="12411075" y="10450830"/>
          <a:ext cx="707390" cy="438150"/>
        </a:xfrm>
        <a:prstGeom prst="rect">
          <a:avLst/>
        </a:prstGeom>
      </xdr:spPr>
    </xdr:pic>
  </etc:cellImage>
  <etc:cellImage>
    <xdr:pic>
      <xdr:nvPicPr>
        <xdr:cNvPr id="14" name="ID_D4DF8B9648B24891A4348CC7B584D1E6"/>
        <xdr:cNvPicPr>
          <a:picLocks noChangeAspect="1"/>
        </xdr:cNvPicPr>
      </xdr:nvPicPr>
      <xdr:blipFill>
        <a:blip r:embed="rId45"/>
        <a:stretch>
          <a:fillRect/>
        </a:stretch>
      </xdr:blipFill>
      <xdr:spPr>
        <a:xfrm>
          <a:off x="12372975" y="11117580"/>
          <a:ext cx="605790" cy="600075"/>
        </a:xfrm>
        <a:prstGeom prst="rect">
          <a:avLst/>
        </a:prstGeom>
      </xdr:spPr>
    </xdr:pic>
  </etc:cellImage>
  <etc:cellImage>
    <xdr:pic>
      <xdr:nvPicPr>
        <xdr:cNvPr id="15" name="ID_E0EB41501152498BA1C4E9D373A6F66E"/>
        <xdr:cNvPicPr>
          <a:picLocks noChangeAspect="1"/>
        </xdr:cNvPicPr>
      </xdr:nvPicPr>
      <xdr:blipFill>
        <a:blip r:embed="rId46"/>
        <a:stretch>
          <a:fillRect/>
        </a:stretch>
      </xdr:blipFill>
      <xdr:spPr>
        <a:xfrm flipH="1">
          <a:off x="12363450" y="11889105"/>
          <a:ext cx="446405" cy="619125"/>
        </a:xfrm>
        <a:prstGeom prst="rect">
          <a:avLst/>
        </a:prstGeom>
      </xdr:spPr>
    </xdr:pic>
  </etc:cellImage>
  <etc:cellImage>
    <xdr:pic>
      <xdr:nvPicPr>
        <xdr:cNvPr id="16" name="ID_0B4F91F084DB4B13A781825AF0061C8A"/>
        <xdr:cNvPicPr>
          <a:picLocks noChangeAspect="1"/>
        </xdr:cNvPicPr>
      </xdr:nvPicPr>
      <xdr:blipFill>
        <a:blip r:embed="rId47"/>
        <a:stretch>
          <a:fillRect/>
        </a:stretch>
      </xdr:blipFill>
      <xdr:spPr>
        <a:xfrm>
          <a:off x="12420600" y="12593955"/>
          <a:ext cx="569595" cy="600075"/>
        </a:xfrm>
        <a:prstGeom prst="rect">
          <a:avLst/>
        </a:prstGeom>
      </xdr:spPr>
    </xdr:pic>
  </etc:cellImage>
  <etc:cellImage>
    <xdr:pic>
      <xdr:nvPicPr>
        <xdr:cNvPr id="17" name="ID_596F8AB927E44D92A1A9EA40027B458E"/>
        <xdr:cNvPicPr>
          <a:picLocks noChangeAspect="1"/>
        </xdr:cNvPicPr>
      </xdr:nvPicPr>
      <xdr:blipFill>
        <a:blip r:embed="rId48"/>
        <a:stretch>
          <a:fillRect/>
        </a:stretch>
      </xdr:blipFill>
      <xdr:spPr>
        <a:xfrm>
          <a:off x="12201525" y="13327380"/>
          <a:ext cx="1047750" cy="605790"/>
        </a:xfrm>
        <a:prstGeom prst="rect">
          <a:avLst/>
        </a:prstGeom>
      </xdr:spPr>
    </xdr:pic>
  </etc:cellImage>
  <etc:cellImage>
    <xdr:pic>
      <xdr:nvPicPr>
        <xdr:cNvPr id="18" name="ID_CCD72B263FB04D09B56A805B523A58DD"/>
        <xdr:cNvPicPr>
          <a:picLocks noChangeAspect="1"/>
        </xdr:cNvPicPr>
      </xdr:nvPicPr>
      <xdr:blipFill>
        <a:blip r:embed="rId49"/>
        <a:stretch>
          <a:fillRect/>
        </a:stretch>
      </xdr:blipFill>
      <xdr:spPr>
        <a:xfrm>
          <a:off x="12458700" y="14098905"/>
          <a:ext cx="499745" cy="647700"/>
        </a:xfrm>
        <a:prstGeom prst="rect">
          <a:avLst/>
        </a:prstGeom>
      </xdr:spPr>
    </xdr:pic>
  </etc:cellImage>
  <etc:cellImage>
    <xdr:pic>
      <xdr:nvPicPr>
        <xdr:cNvPr id="20" name="ID_10B35444EC6C4452A890D055B580E19E"/>
        <xdr:cNvPicPr>
          <a:picLocks noChangeAspect="1"/>
        </xdr:cNvPicPr>
      </xdr:nvPicPr>
      <xdr:blipFill>
        <a:blip r:embed="rId50"/>
        <a:stretch>
          <a:fillRect/>
        </a:stretch>
      </xdr:blipFill>
      <xdr:spPr>
        <a:xfrm>
          <a:off x="12468225" y="15613380"/>
          <a:ext cx="318770" cy="447675"/>
        </a:xfrm>
        <a:prstGeom prst="rect">
          <a:avLst/>
        </a:prstGeom>
      </xdr:spPr>
    </xdr:pic>
  </etc:cellImage>
  <etc:cellImage>
    <xdr:pic>
      <xdr:nvPicPr>
        <xdr:cNvPr id="21" name="ID_402D0065464845B2BE4933C00F4E38E1"/>
        <xdr:cNvPicPr>
          <a:picLocks noChangeAspect="1"/>
        </xdr:cNvPicPr>
      </xdr:nvPicPr>
      <xdr:blipFill>
        <a:blip r:embed="rId51"/>
        <a:stretch>
          <a:fillRect/>
        </a:stretch>
      </xdr:blipFill>
      <xdr:spPr>
        <a:xfrm>
          <a:off x="12325350" y="16394430"/>
          <a:ext cx="509905" cy="600075"/>
        </a:xfrm>
        <a:prstGeom prst="rect">
          <a:avLst/>
        </a:prstGeom>
      </xdr:spPr>
    </xdr:pic>
  </etc:cellImage>
  <etc:cellImage>
    <xdr:pic>
      <xdr:nvPicPr>
        <xdr:cNvPr id="64" name="ID_CBA2514FF81340A9BD2383F653F423CB"/>
        <xdr:cNvPicPr>
          <a:picLocks noChangeAspect="1"/>
        </xdr:cNvPicPr>
      </xdr:nvPicPr>
      <xdr:blipFill>
        <a:blip r:embed="rId52"/>
        <a:stretch>
          <a:fillRect/>
        </a:stretch>
      </xdr:blipFill>
      <xdr:spPr>
        <a:xfrm>
          <a:off x="12399645" y="20051395"/>
          <a:ext cx="554990" cy="719455"/>
        </a:xfrm>
        <a:prstGeom prst="rect">
          <a:avLst/>
        </a:prstGeom>
      </xdr:spPr>
    </xdr:pic>
  </etc:cellImage>
  <etc:cellImage>
    <xdr:pic>
      <xdr:nvPicPr>
        <xdr:cNvPr id="24" name="ID_9BDEBC69B2664269A0891987E83EE8E6"/>
        <xdr:cNvPicPr>
          <a:picLocks noChangeAspect="1"/>
        </xdr:cNvPicPr>
      </xdr:nvPicPr>
      <xdr:blipFill>
        <a:blip r:embed="rId53"/>
        <a:stretch>
          <a:fillRect/>
        </a:stretch>
      </xdr:blipFill>
      <xdr:spPr>
        <a:xfrm>
          <a:off x="12437745" y="20874355"/>
          <a:ext cx="581025" cy="632460"/>
        </a:xfrm>
        <a:prstGeom prst="rect">
          <a:avLst/>
        </a:prstGeom>
      </xdr:spPr>
    </xdr:pic>
  </etc:cellImage>
  <etc:cellImage>
    <xdr:pic>
      <xdr:nvPicPr>
        <xdr:cNvPr id="62" name="ID_1F1B8B2B061E404D8F10BDF9D327CA7E"/>
        <xdr:cNvPicPr>
          <a:picLocks noChangeAspect="1"/>
        </xdr:cNvPicPr>
      </xdr:nvPicPr>
      <xdr:blipFill>
        <a:blip r:embed="rId54"/>
        <a:stretch>
          <a:fillRect/>
        </a:stretch>
      </xdr:blipFill>
      <xdr:spPr>
        <a:xfrm>
          <a:off x="12392025" y="21548725"/>
          <a:ext cx="716915" cy="715645"/>
        </a:xfrm>
        <a:prstGeom prst="rect">
          <a:avLst/>
        </a:prstGeom>
      </xdr:spPr>
    </xdr:pic>
  </etc:cellImage>
  <etc:cellImage>
    <xdr:pic>
      <xdr:nvPicPr>
        <xdr:cNvPr id="25" name="ID_1B7C2E8CCB2A4FFF8751E75F30B77220" descr="背面.jpg"/>
        <xdr:cNvPicPr/>
      </xdr:nvPicPr>
      <xdr:blipFill>
        <a:blip r:embed="rId55" cstate="print">
          <a:extLst>
            <a:ext uri="{28A0092B-C50C-407E-A947-70E740481C1C}">
              <a14:useLocalDpi xmlns:a14="http://schemas.microsoft.com/office/drawing/2010/main" val="0"/>
            </a:ext>
          </a:extLst>
        </a:blip>
        <a:srcRect/>
        <a:stretch>
          <a:fillRect/>
        </a:stretch>
      </xdr:blipFill>
      <xdr:spPr>
        <a:xfrm>
          <a:off x="12439650" y="23150195"/>
          <a:ext cx="514350" cy="632460"/>
        </a:xfrm>
        <a:prstGeom prst="rect">
          <a:avLst/>
        </a:prstGeom>
        <a:noFill/>
        <a:ln>
          <a:noFill/>
        </a:ln>
      </xdr:spPr>
    </xdr:pic>
  </etc:cellImage>
  <etc:cellImage>
    <xdr:pic>
      <xdr:nvPicPr>
        <xdr:cNvPr id="26" name="ID_9DEF71F52E3B482083CA026923A8DA47"/>
        <xdr:cNvPicPr>
          <a:picLocks noChangeAspect="1"/>
        </xdr:cNvPicPr>
      </xdr:nvPicPr>
      <xdr:blipFill>
        <a:blip r:embed="rId56"/>
        <a:stretch>
          <a:fillRect/>
        </a:stretch>
      </xdr:blipFill>
      <xdr:spPr>
        <a:xfrm>
          <a:off x="12553950" y="23931245"/>
          <a:ext cx="320040" cy="514350"/>
        </a:xfrm>
        <a:prstGeom prst="rect">
          <a:avLst/>
        </a:prstGeom>
      </xdr:spPr>
    </xdr:pic>
  </etc:cellImage>
  <etc:cellImage>
    <xdr:pic>
      <xdr:nvPicPr>
        <xdr:cNvPr id="27" name="ID_F07C3C90F45C4FBEB459FF02C448D367"/>
        <xdr:cNvPicPr>
          <a:picLocks noChangeAspect="1"/>
        </xdr:cNvPicPr>
      </xdr:nvPicPr>
      <xdr:blipFill>
        <a:blip r:embed="rId57" cstate="print"/>
        <a:stretch>
          <a:fillRect/>
        </a:stretch>
      </xdr:blipFill>
      <xdr:spPr>
        <a:xfrm>
          <a:off x="12439650" y="24786590"/>
          <a:ext cx="525145" cy="377825"/>
        </a:xfrm>
        <a:prstGeom prst="rect">
          <a:avLst/>
        </a:prstGeom>
      </xdr:spPr>
    </xdr:pic>
  </etc:cellImage>
  <etc:cellImage>
    <xdr:pic>
      <xdr:nvPicPr>
        <xdr:cNvPr id="28" name="ID_8DFFEA200A554DDD80AE1F4B589C70A9"/>
        <xdr:cNvPicPr>
          <a:picLocks noChangeAspect="1" noChangeArrowheads="1"/>
        </xdr:cNvPicPr>
      </xdr:nvPicPr>
      <xdr:blipFill>
        <a:blip r:embed="rId58" cstate="print"/>
        <a:srcRect/>
        <a:stretch>
          <a:fillRect/>
        </a:stretch>
      </xdr:blipFill>
      <xdr:spPr>
        <a:xfrm flipH="1">
          <a:off x="12325350" y="25300940"/>
          <a:ext cx="591820" cy="647065"/>
        </a:xfrm>
        <a:prstGeom prst="rect">
          <a:avLst/>
        </a:prstGeom>
        <a:noFill/>
        <a:ln w="1">
          <a:noFill/>
          <a:miter lim="800000"/>
          <a:headEnd/>
          <a:tailEnd type="none" w="med" len="med"/>
        </a:ln>
        <a:effectLst/>
      </xdr:spPr>
    </xdr:pic>
  </etc:cellImage>
  <etc:cellImage>
    <xdr:pic>
      <xdr:nvPicPr>
        <xdr:cNvPr id="29" name="ID_020D482F10084A73BD29C98AF6F613F7"/>
        <xdr:cNvPicPr>
          <a:picLocks noChangeAspect="1"/>
        </xdr:cNvPicPr>
      </xdr:nvPicPr>
      <xdr:blipFill>
        <a:blip r:embed="rId59"/>
        <a:stretch>
          <a:fillRect/>
        </a:stretch>
      </xdr:blipFill>
      <xdr:spPr>
        <a:xfrm flipH="1">
          <a:off x="12350115" y="26142950"/>
          <a:ext cx="445135" cy="575310"/>
        </a:xfrm>
        <a:prstGeom prst="rect">
          <a:avLst/>
        </a:prstGeom>
      </xdr:spPr>
    </xdr:pic>
  </etc:cellImage>
  <etc:cellImage>
    <xdr:pic>
      <xdr:nvPicPr>
        <xdr:cNvPr id="65" name="ID_20AD84A3016A46ECB0DDA07A4ED78EE4"/>
        <xdr:cNvPicPr>
          <a:picLocks noChangeAspect="1"/>
        </xdr:cNvPicPr>
      </xdr:nvPicPr>
      <xdr:blipFill>
        <a:blip r:embed="rId60"/>
        <a:stretch>
          <a:fillRect/>
        </a:stretch>
      </xdr:blipFill>
      <xdr:spPr>
        <a:xfrm>
          <a:off x="12209145" y="26864945"/>
          <a:ext cx="883920" cy="579755"/>
        </a:xfrm>
        <a:prstGeom prst="rect">
          <a:avLst/>
        </a:prstGeom>
        <a:noFill/>
        <a:ln w="9525">
          <a:noFill/>
        </a:ln>
      </xdr:spPr>
    </xdr:pic>
  </etc:cellImage>
  <etc:cellImage>
    <xdr:pic>
      <xdr:nvPicPr>
        <xdr:cNvPr id="63" name="ID_5288EFA6834B4A06A0A4204FC05E1E10"/>
        <xdr:cNvPicPr>
          <a:picLocks noChangeAspect="1"/>
        </xdr:cNvPicPr>
      </xdr:nvPicPr>
      <xdr:blipFill>
        <a:blip r:embed="rId61"/>
        <a:stretch>
          <a:fillRect/>
        </a:stretch>
      </xdr:blipFill>
      <xdr:spPr>
        <a:xfrm>
          <a:off x="12361545" y="27523440"/>
          <a:ext cx="525780" cy="373380"/>
        </a:xfrm>
        <a:prstGeom prst="rect">
          <a:avLst/>
        </a:prstGeom>
      </xdr:spPr>
    </xdr:pic>
  </etc:cellImage>
  <etc:cellImage>
    <xdr:pic>
      <xdr:nvPicPr>
        <xdr:cNvPr id="30" name="ID_00C3728D78CF404F99FF0D57A4EC7B1C"/>
        <xdr:cNvPicPr>
          <a:picLocks noChangeAspect="1"/>
        </xdr:cNvPicPr>
      </xdr:nvPicPr>
      <xdr:blipFill>
        <a:blip r:embed="rId62"/>
        <a:stretch>
          <a:fillRect/>
        </a:stretch>
      </xdr:blipFill>
      <xdr:spPr>
        <a:xfrm>
          <a:off x="12384405" y="28063825"/>
          <a:ext cx="490220" cy="485775"/>
        </a:xfrm>
        <a:prstGeom prst="rect">
          <a:avLst/>
        </a:prstGeom>
      </xdr:spPr>
    </xdr:pic>
  </etc:cellImage>
  <etc:cellImage>
    <xdr:pic>
      <xdr:nvPicPr>
        <xdr:cNvPr id="31" name="ID_165C5B576F0746A08DDE6E1CE04F8B68" descr="步骤6.jpg"/>
        <xdr:cNvPicPr/>
      </xdr:nvPicPr>
      <xdr:blipFill>
        <a:blip r:embed="rId63" cstate="print">
          <a:extLst>
            <a:ext uri="{28A0092B-C50C-407E-A947-70E740481C1C}">
              <a14:useLocalDpi xmlns:a14="http://schemas.microsoft.com/office/drawing/2010/main" val="0"/>
            </a:ext>
          </a:extLst>
        </a:blip>
        <a:srcRect/>
        <a:stretch>
          <a:fillRect/>
        </a:stretch>
      </xdr:blipFill>
      <xdr:spPr>
        <a:xfrm>
          <a:off x="12315825" y="28740100"/>
          <a:ext cx="704850" cy="752475"/>
        </a:xfrm>
        <a:prstGeom prst="rect">
          <a:avLst/>
        </a:prstGeom>
        <a:noFill/>
        <a:ln>
          <a:noFill/>
        </a:ln>
      </xdr:spPr>
    </xdr:pic>
  </etc:cellImage>
  <etc:cellImage>
    <xdr:pic>
      <xdr:nvPicPr>
        <xdr:cNvPr id="32" name="ID_04B5889C5C0643ED918B0C5EB54AEF8A"/>
        <xdr:cNvPicPr>
          <a:picLocks noChangeAspect="1"/>
        </xdr:cNvPicPr>
      </xdr:nvPicPr>
      <xdr:blipFill>
        <a:blip r:embed="rId64"/>
        <a:stretch>
          <a:fillRect/>
        </a:stretch>
      </xdr:blipFill>
      <xdr:spPr>
        <a:xfrm rot="360269">
          <a:off x="12232005" y="29500195"/>
          <a:ext cx="911860" cy="729615"/>
        </a:xfrm>
        <a:prstGeom prst="rect">
          <a:avLst/>
        </a:prstGeom>
      </xdr:spPr>
    </xdr:pic>
  </etc:cellImage>
  <etc:cellImage>
    <xdr:pic>
      <xdr:nvPicPr>
        <xdr:cNvPr id="33" name="ID_484A596E27E4414F96E013C24E7560B4" descr="C:\Documents and Settings\Administrator\Application Data\Tencent\Users\250147543\QQ\WinTemp\RichOle\OUQUC4X]IJ81{U_K9R5MVFJ.jpg"/>
        <xdr:cNvPicPr>
          <a:picLocks noChangeAspect="1" noChangeArrowheads="1"/>
        </xdr:cNvPicPr>
      </xdr:nvPicPr>
      <xdr:blipFill>
        <a:blip r:embed="rId65" cstate="print"/>
        <a:srcRect/>
        <a:stretch>
          <a:fillRect/>
        </a:stretch>
      </xdr:blipFill>
      <xdr:spPr>
        <a:xfrm flipH="1">
          <a:off x="12298680" y="30328870"/>
          <a:ext cx="824230" cy="581025"/>
        </a:xfrm>
        <a:prstGeom prst="rect">
          <a:avLst/>
        </a:prstGeom>
        <a:noFill/>
        <a:ln w="9525">
          <a:noFill/>
          <a:miter lim="800000"/>
          <a:headEnd/>
          <a:tailEnd/>
        </a:ln>
      </xdr:spPr>
    </xdr:pic>
  </etc:cellImage>
  <etc:cellImage>
    <xdr:pic>
      <xdr:nvPicPr>
        <xdr:cNvPr id="34" name="ID_D56F02595E404B0F972EA1B5962782FA" descr="C:\Documents and Settings\Administrator\Application Data\Tencent\Users\250147543\QQ\WinTemp\RichOle\SEXX310YV5OZD7_3[DUYSP8.jpg"/>
        <xdr:cNvPicPr>
          <a:picLocks noChangeAspect="1" noChangeArrowheads="1"/>
        </xdr:cNvPicPr>
      </xdr:nvPicPr>
      <xdr:blipFill>
        <a:blip r:embed="rId66" cstate="print"/>
        <a:srcRect/>
        <a:stretch>
          <a:fillRect/>
        </a:stretch>
      </xdr:blipFill>
      <xdr:spPr>
        <a:xfrm>
          <a:off x="12287250" y="30993715"/>
          <a:ext cx="737235" cy="718185"/>
        </a:xfrm>
        <a:prstGeom prst="rect">
          <a:avLst/>
        </a:prstGeom>
        <a:noFill/>
        <a:ln w="9525">
          <a:noFill/>
          <a:miter lim="800000"/>
          <a:headEnd/>
          <a:tailEnd/>
        </a:ln>
      </xdr:spPr>
    </xdr:pic>
  </etc:cellImage>
  <etc:cellImage>
    <xdr:pic>
      <xdr:nvPicPr>
        <xdr:cNvPr id="66" name="ID_513CE3C378874F148B764DE21D59D9FE"/>
        <xdr:cNvPicPr>
          <a:picLocks noChangeAspect="1"/>
        </xdr:cNvPicPr>
      </xdr:nvPicPr>
      <xdr:blipFill>
        <a:blip r:embed="rId67"/>
        <a:stretch>
          <a:fillRect/>
        </a:stretch>
      </xdr:blipFill>
      <xdr:spPr>
        <a:xfrm>
          <a:off x="12277725" y="32062420"/>
          <a:ext cx="955675" cy="544830"/>
        </a:xfrm>
        <a:prstGeom prst="rect">
          <a:avLst/>
        </a:prstGeom>
        <a:noFill/>
        <a:ln w="9525">
          <a:noFill/>
        </a:ln>
      </xdr:spPr>
    </xdr:pic>
  </etc:cellImage>
  <etc:cellImage>
    <xdr:pic>
      <xdr:nvPicPr>
        <xdr:cNvPr id="35" name="ID_CD4985B1685A456FA90E6AB225F219DB" descr="C:\Documents and Settings\Administrator\Application Data\Tencent\Users\250147543\QQ\WinTemp\RichOle\Q21QIPRQ7YE~CAX]4~EWL_6.jpg"/>
        <xdr:cNvPicPr>
          <a:picLocks noChangeAspect="1" noChangeArrowheads="1"/>
        </xdr:cNvPicPr>
      </xdr:nvPicPr>
      <xdr:blipFill>
        <a:blip r:embed="rId68" cstate="print"/>
        <a:srcRect/>
        <a:stretch>
          <a:fillRect/>
        </a:stretch>
      </xdr:blipFill>
      <xdr:spPr>
        <a:xfrm flipH="1">
          <a:off x="12308205" y="32814895"/>
          <a:ext cx="656590" cy="516890"/>
        </a:xfrm>
        <a:prstGeom prst="rect">
          <a:avLst/>
        </a:prstGeom>
        <a:noFill/>
        <a:ln w="9525">
          <a:noFill/>
          <a:miter lim="800000"/>
          <a:headEnd/>
          <a:tailEnd/>
        </a:ln>
      </xdr:spPr>
    </xdr:pic>
  </etc:cellImage>
  <etc:cellImage>
    <xdr:pic>
      <xdr:nvPicPr>
        <xdr:cNvPr id="67" name="ID_DA7F92489DA34AB4AB8E3E5FB5B481DA"/>
        <xdr:cNvPicPr>
          <a:picLocks noChangeAspect="1"/>
        </xdr:cNvPicPr>
      </xdr:nvPicPr>
      <xdr:blipFill>
        <a:blip r:embed="rId69"/>
        <a:stretch>
          <a:fillRect/>
        </a:stretch>
      </xdr:blipFill>
      <xdr:spPr>
        <a:xfrm>
          <a:off x="12277725" y="33458785"/>
          <a:ext cx="929005" cy="595630"/>
        </a:xfrm>
        <a:prstGeom prst="rect">
          <a:avLst/>
        </a:prstGeom>
        <a:noFill/>
        <a:ln w="9525">
          <a:noFill/>
        </a:ln>
      </xdr:spPr>
    </xdr:pic>
  </etc:cellImage>
  <etc:cellImage>
    <xdr:pic>
      <xdr:nvPicPr>
        <xdr:cNvPr id="36" name="ID_09357AD11203492AB3BB11329E3EA3F9" descr="C:\Users\Administrator\Documents\Tencent Files\736943968\Image\C2C\94F4A8681F467F99B72A63B4484D0D1F.jpg"/>
        <xdr:cNvPicPr>
          <a:picLocks noChangeAspect="1" noChangeArrowheads="1"/>
        </xdr:cNvPicPr>
      </xdr:nvPicPr>
      <xdr:blipFill>
        <a:blip r:embed="rId70" cstate="print"/>
        <a:srcRect/>
        <a:stretch>
          <a:fillRect/>
        </a:stretch>
      </xdr:blipFill>
      <xdr:spPr>
        <a:xfrm>
          <a:off x="12470130" y="34309685"/>
          <a:ext cx="621665" cy="693420"/>
        </a:xfrm>
        <a:prstGeom prst="rect">
          <a:avLst/>
        </a:prstGeom>
        <a:noFill/>
      </xdr:spPr>
    </xdr:pic>
  </etc:cellImage>
  <etc:cellImage>
    <xdr:pic>
      <xdr:nvPicPr>
        <xdr:cNvPr id="37" name="ID_D59B33435A254943B8E6CDAA19BA816E"/>
        <xdr:cNvPicPr>
          <a:picLocks noChangeAspect="1"/>
        </xdr:cNvPicPr>
      </xdr:nvPicPr>
      <xdr:blipFill>
        <a:blip r:embed="rId71"/>
        <a:stretch>
          <a:fillRect/>
        </a:stretch>
      </xdr:blipFill>
      <xdr:spPr>
        <a:xfrm flipH="1">
          <a:off x="12611100" y="35184080"/>
          <a:ext cx="259715" cy="495300"/>
        </a:xfrm>
        <a:prstGeom prst="rect">
          <a:avLst/>
        </a:prstGeom>
      </xdr:spPr>
    </xdr:pic>
  </etc:cellImage>
  <etc:cellImage>
    <xdr:pic>
      <xdr:nvPicPr>
        <xdr:cNvPr id="38" name="ID_BB659B53B88E4CEEBED012E842FBD67E"/>
        <xdr:cNvPicPr>
          <a:picLocks noChangeAspect="1"/>
        </xdr:cNvPicPr>
      </xdr:nvPicPr>
      <xdr:blipFill>
        <a:blip r:embed="rId72"/>
        <a:stretch>
          <a:fillRect/>
        </a:stretch>
      </xdr:blipFill>
      <xdr:spPr>
        <a:xfrm rot="10800000" flipV="1">
          <a:off x="12420600" y="35984180"/>
          <a:ext cx="704850" cy="387350"/>
        </a:xfrm>
        <a:prstGeom prst="rect">
          <a:avLst/>
        </a:prstGeom>
      </xdr:spPr>
    </xdr:pic>
  </etc:cellImage>
  <etc:cellImage>
    <xdr:pic>
      <xdr:nvPicPr>
        <xdr:cNvPr id="39" name="ID_083B4061406F4C16B271BB19F689E4BD"/>
        <xdr:cNvPicPr>
          <a:picLocks noChangeAspect="1"/>
        </xdr:cNvPicPr>
      </xdr:nvPicPr>
      <xdr:blipFill>
        <a:blip r:embed="rId73"/>
        <a:stretch>
          <a:fillRect/>
        </a:stretch>
      </xdr:blipFill>
      <xdr:spPr>
        <a:xfrm>
          <a:off x="12363450" y="36612830"/>
          <a:ext cx="765175" cy="532765"/>
        </a:xfrm>
        <a:prstGeom prst="rect">
          <a:avLst/>
        </a:prstGeom>
      </xdr:spPr>
    </xdr:pic>
  </etc:cellImage>
  <etc:cellImage>
    <xdr:pic>
      <xdr:nvPicPr>
        <xdr:cNvPr id="40" name="ID_E7895E3DE29F4F1199FFE2408675A7F4"/>
        <xdr:cNvPicPr>
          <a:picLocks noChangeAspect="1"/>
        </xdr:cNvPicPr>
      </xdr:nvPicPr>
      <xdr:blipFill>
        <a:blip r:embed="rId74"/>
        <a:stretch>
          <a:fillRect/>
        </a:stretch>
      </xdr:blipFill>
      <xdr:spPr>
        <a:xfrm>
          <a:off x="12534900" y="37393880"/>
          <a:ext cx="448945" cy="550545"/>
        </a:xfrm>
        <a:prstGeom prst="rect">
          <a:avLst/>
        </a:prstGeom>
      </xdr:spPr>
    </xdr:pic>
  </etc:cellImage>
  <etc:cellImage>
    <xdr:pic>
      <xdr:nvPicPr>
        <xdr:cNvPr id="41" name="ID_DC178017B03B4F91852DE8E914C61C0A"/>
        <xdr:cNvPicPr>
          <a:picLocks noChangeAspect="1"/>
        </xdr:cNvPicPr>
      </xdr:nvPicPr>
      <xdr:blipFill>
        <a:blip r:embed="rId75"/>
        <a:stretch>
          <a:fillRect/>
        </a:stretch>
      </xdr:blipFill>
      <xdr:spPr>
        <a:xfrm>
          <a:off x="12323445" y="38173025"/>
          <a:ext cx="819150" cy="542925"/>
        </a:xfrm>
        <a:prstGeom prst="rect">
          <a:avLst/>
        </a:prstGeom>
      </xdr:spPr>
    </xdr:pic>
  </etc:cellImage>
  <etc:cellImage>
    <xdr:pic>
      <xdr:nvPicPr>
        <xdr:cNvPr id="42" name="ID_84A037EF44D04F98A2A88D01FEFAB064"/>
        <xdr:cNvPicPr>
          <a:picLocks noChangeAspect="1"/>
        </xdr:cNvPicPr>
      </xdr:nvPicPr>
      <xdr:blipFill>
        <a:blip r:embed="rId76"/>
        <a:stretch>
          <a:fillRect/>
        </a:stretch>
      </xdr:blipFill>
      <xdr:spPr>
        <a:xfrm>
          <a:off x="12392025" y="38889305"/>
          <a:ext cx="723900" cy="553720"/>
        </a:xfrm>
        <a:prstGeom prst="rect">
          <a:avLst/>
        </a:prstGeom>
      </xdr:spPr>
    </xdr:pic>
  </etc:cellImage>
  <etc:cellImage>
    <xdr:pic>
      <xdr:nvPicPr>
        <xdr:cNvPr id="43" name="ID_CAC89DBBB64B48E2A57BB2C4B90D4334" descr="IMG_0937"/>
        <xdr:cNvPicPr>
          <a:picLocks noChangeAspect="1" noChangeArrowheads="1"/>
        </xdr:cNvPicPr>
      </xdr:nvPicPr>
      <xdr:blipFill>
        <a:blip r:embed="rId77" cstate="print">
          <a:extLst>
            <a:ext uri="{28A0092B-C50C-407E-A947-70E740481C1C}">
              <a14:useLocalDpi xmlns:a14="http://schemas.microsoft.com/office/drawing/2010/main" val="0"/>
            </a:ext>
          </a:extLst>
        </a:blip>
        <a:srcRect/>
        <a:stretch>
          <a:fillRect/>
        </a:stretch>
      </xdr:blipFill>
      <xdr:spPr>
        <a:xfrm>
          <a:off x="12544425" y="39622730"/>
          <a:ext cx="53975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45" name="ID_8407E40EF5444C36B1A243FC88AADA52"/>
        <xdr:cNvPicPr>
          <a:picLocks noChangeAspect="1"/>
        </xdr:cNvPicPr>
      </xdr:nvPicPr>
      <xdr:blipFill>
        <a:blip r:embed="rId78"/>
        <a:stretch>
          <a:fillRect/>
        </a:stretch>
      </xdr:blipFill>
      <xdr:spPr>
        <a:xfrm>
          <a:off x="12401550" y="40422830"/>
          <a:ext cx="638810" cy="780415"/>
        </a:xfrm>
        <a:prstGeom prst="rect">
          <a:avLst/>
        </a:prstGeom>
      </xdr:spPr>
    </xdr:pic>
  </etc:cellImage>
  <etc:cellImage>
    <xdr:pic>
      <xdr:nvPicPr>
        <xdr:cNvPr id="46" name="ID_0112225A6C5842439126270A71D27EF8"/>
        <xdr:cNvPicPr>
          <a:picLocks noChangeAspect="1" noChangeArrowheads="1"/>
        </xdr:cNvPicPr>
      </xdr:nvPicPr>
      <xdr:blipFill>
        <a:blip r:embed="rId79" cstate="print"/>
        <a:srcRect/>
        <a:stretch>
          <a:fillRect/>
        </a:stretch>
      </xdr:blipFill>
      <xdr:spPr>
        <a:xfrm>
          <a:off x="12296775" y="41261030"/>
          <a:ext cx="799465" cy="460375"/>
        </a:xfrm>
        <a:prstGeom prst="rect">
          <a:avLst/>
        </a:prstGeom>
        <a:noFill/>
        <a:ln w="1">
          <a:noFill/>
          <a:miter lim="800000"/>
          <a:headEnd/>
          <a:tailEnd type="none" w="med" len="med"/>
        </a:ln>
        <a:effectLst/>
      </xdr:spPr>
    </xdr:pic>
  </etc:cellImage>
  <etc:cellImage>
    <xdr:pic>
      <xdr:nvPicPr>
        <xdr:cNvPr id="47" name="ID_58B4E0AE446F4791BDAC58F1D49A0911"/>
        <xdr:cNvPicPr>
          <a:picLocks noChangeAspect="1"/>
        </xdr:cNvPicPr>
      </xdr:nvPicPr>
      <xdr:blipFill>
        <a:blip r:embed="rId80" cstate="print"/>
        <a:stretch>
          <a:fillRect/>
        </a:stretch>
      </xdr:blipFill>
      <xdr:spPr>
        <a:xfrm>
          <a:off x="12389485" y="42401490"/>
          <a:ext cx="545465" cy="564515"/>
        </a:xfrm>
        <a:prstGeom prst="rect">
          <a:avLst/>
        </a:prstGeom>
      </xdr:spPr>
    </xdr:pic>
  </etc:cellImage>
  <etc:cellImage>
    <xdr:pic>
      <xdr:nvPicPr>
        <xdr:cNvPr id="48" name="ID_B1A7A10FBE9B46F0ADC284B7E426C995"/>
        <xdr:cNvPicPr>
          <a:picLocks noChangeAspect="1"/>
        </xdr:cNvPicPr>
      </xdr:nvPicPr>
      <xdr:blipFill>
        <a:blip r:embed="rId81" cstate="print"/>
        <a:stretch>
          <a:fillRect/>
        </a:stretch>
      </xdr:blipFill>
      <xdr:spPr>
        <a:xfrm>
          <a:off x="12344400" y="43123485"/>
          <a:ext cx="657225" cy="622935"/>
        </a:xfrm>
        <a:prstGeom prst="rect">
          <a:avLst/>
        </a:prstGeom>
      </xdr:spPr>
    </xdr:pic>
  </etc:cellImage>
  <etc:cellImage>
    <xdr:pic>
      <xdr:nvPicPr>
        <xdr:cNvPr id="49" name="ID_B906D5C45CC14698B715168549B8C558"/>
        <xdr:cNvPicPr>
          <a:picLocks noChangeAspect="1"/>
        </xdr:cNvPicPr>
      </xdr:nvPicPr>
      <xdr:blipFill>
        <a:blip r:embed="rId82"/>
        <a:stretch>
          <a:fillRect/>
        </a:stretch>
      </xdr:blipFill>
      <xdr:spPr>
        <a:xfrm rot="5400000" flipV="1">
          <a:off x="12593955" y="43624500"/>
          <a:ext cx="337820" cy="1188085"/>
        </a:xfrm>
        <a:prstGeom prst="rect">
          <a:avLst/>
        </a:prstGeom>
      </xdr:spPr>
    </xdr:pic>
  </etc:cellImage>
  <etc:cellImage>
    <xdr:pic>
      <xdr:nvPicPr>
        <xdr:cNvPr id="50" name="ID_3A4152E2D4F141D6931BE2B64A39ECC8"/>
        <xdr:cNvPicPr>
          <a:picLocks noChangeAspect="1"/>
        </xdr:cNvPicPr>
      </xdr:nvPicPr>
      <xdr:blipFill>
        <a:blip r:embed="rId83" cstate="print"/>
        <a:stretch>
          <a:fillRect/>
        </a:stretch>
      </xdr:blipFill>
      <xdr:spPr>
        <a:xfrm>
          <a:off x="12258675" y="44651930"/>
          <a:ext cx="599440" cy="500380"/>
        </a:xfrm>
        <a:prstGeom prst="rect">
          <a:avLst/>
        </a:prstGeom>
      </xdr:spPr>
    </xdr:pic>
  </etc:cellImage>
  <etc:cellImage>
    <xdr:pic>
      <xdr:nvPicPr>
        <xdr:cNvPr id="51" name="ID_4797000DD6114FAF93E0EE65890E5DE9" descr="C:\Documents and Settings\Administrator\Application Data\Tencent\Users\250147543\QQ\WinTemp\RichOle\GDUISBG3A]0Z1H[(NQ1Y1KA.jpg"/>
        <xdr:cNvPicPr>
          <a:picLocks noChangeAspect="1" noChangeArrowheads="1"/>
        </xdr:cNvPicPr>
      </xdr:nvPicPr>
      <xdr:blipFill>
        <a:blip r:embed="rId84" cstate="print"/>
        <a:srcRect/>
        <a:stretch>
          <a:fillRect/>
        </a:stretch>
      </xdr:blipFill>
      <xdr:spPr>
        <a:xfrm rot="5400000" flipV="1">
          <a:off x="12437110" y="45252005"/>
          <a:ext cx="426085" cy="779780"/>
        </a:xfrm>
        <a:prstGeom prst="rect">
          <a:avLst/>
        </a:prstGeom>
        <a:noFill/>
        <a:ln w="9525">
          <a:noFill/>
          <a:miter lim="800000"/>
          <a:headEnd/>
          <a:tailEnd/>
        </a:ln>
      </xdr:spPr>
    </xdr:pic>
  </etc:cellImage>
  <etc:cellImage>
    <xdr:pic>
      <xdr:nvPicPr>
        <xdr:cNvPr id="52" name="ID_912DBD7FC5A5421386B7BCFE30A83103"/>
        <xdr:cNvPicPr>
          <a:picLocks noChangeAspect="1"/>
        </xdr:cNvPicPr>
      </xdr:nvPicPr>
      <xdr:blipFill>
        <a:blip r:embed="rId85"/>
        <a:stretch>
          <a:fillRect/>
        </a:stretch>
      </xdr:blipFill>
      <xdr:spPr>
        <a:xfrm>
          <a:off x="12319635" y="46158785"/>
          <a:ext cx="638175" cy="518795"/>
        </a:xfrm>
        <a:prstGeom prst="rect">
          <a:avLst/>
        </a:prstGeom>
      </xdr:spPr>
    </xdr:pic>
  </etc:cellImage>
  <etc:cellImage>
    <xdr:pic>
      <xdr:nvPicPr>
        <xdr:cNvPr id="53" name="ID_87DE9AC525674D49B1AFEC39898A8790"/>
        <xdr:cNvPicPr>
          <a:picLocks noChangeAspect="1"/>
        </xdr:cNvPicPr>
      </xdr:nvPicPr>
      <xdr:blipFill>
        <a:blip r:embed="rId86" cstate="print"/>
        <a:stretch>
          <a:fillRect/>
        </a:stretch>
      </xdr:blipFill>
      <xdr:spPr>
        <a:xfrm>
          <a:off x="12496165" y="47071280"/>
          <a:ext cx="535940" cy="714375"/>
        </a:xfrm>
        <a:prstGeom prst="rect">
          <a:avLst/>
        </a:prstGeom>
      </xdr:spPr>
    </xdr:pic>
  </etc:cellImage>
  <etc:cellImage>
    <xdr:pic>
      <xdr:nvPicPr>
        <xdr:cNvPr id="68" name="ID_DA030C0B035540C4AA65036CDCD5E1C8" descr="C:\Documents and Settings\Administrator\Application Data\Tencent\Users\250147543\QQ\WinTemp\RichOle\0CR~8P5NNJDQQ5_X$B9`7DV.jpg"/>
        <xdr:cNvPicPr>
          <a:picLocks noChangeAspect="1" noChangeArrowheads="1"/>
        </xdr:cNvPicPr>
      </xdr:nvPicPr>
      <xdr:blipFill>
        <a:blip r:embed="rId87" cstate="print"/>
        <a:srcRect/>
        <a:stretch>
          <a:fillRect/>
        </a:stretch>
      </xdr:blipFill>
      <xdr:spPr>
        <a:xfrm>
          <a:off x="12273915" y="47859950"/>
          <a:ext cx="1205865" cy="914400"/>
        </a:xfrm>
        <a:prstGeom prst="rect">
          <a:avLst/>
        </a:prstGeom>
        <a:noFill/>
        <a:ln w="9525">
          <a:noFill/>
          <a:miter lim="800000"/>
          <a:headEnd/>
          <a:tailEnd/>
        </a:ln>
      </xdr:spPr>
    </xdr:pic>
  </etc:cellImage>
  <etc:cellImage>
    <xdr:pic>
      <xdr:nvPicPr>
        <xdr:cNvPr id="69" name="ID_505C31E3D92A4C5FBCE35A07D1C27E9B" descr="C:\Documents and Settings\Administrator\Application Data\Tencent\Users\250147543\QQ\WinTemp\RichOle\I~IM%%%`GR}(9Y{K{WH}XSI.jpg"/>
        <xdr:cNvPicPr>
          <a:picLocks noChangeAspect="1" noChangeArrowheads="1"/>
        </xdr:cNvPicPr>
      </xdr:nvPicPr>
      <xdr:blipFill>
        <a:blip r:embed="rId88" cstate="print"/>
        <a:srcRect/>
        <a:stretch>
          <a:fillRect/>
        </a:stretch>
      </xdr:blipFill>
      <xdr:spPr>
        <a:xfrm>
          <a:off x="12262485" y="49265840"/>
          <a:ext cx="1158240" cy="784860"/>
        </a:xfrm>
        <a:prstGeom prst="rect">
          <a:avLst/>
        </a:prstGeom>
        <a:noFill/>
        <a:ln w="9525">
          <a:noFill/>
          <a:miter lim="800000"/>
          <a:headEnd/>
          <a:tailEnd/>
        </a:ln>
      </xdr:spPr>
    </xdr:pic>
  </etc:cellImage>
  <etc:cellImage>
    <xdr:pic>
      <xdr:nvPicPr>
        <xdr:cNvPr id="70" name="ID_18DB81AD84E645539FDF42E5EA7D3577"/>
        <xdr:cNvPicPr>
          <a:picLocks noChangeAspect="1"/>
        </xdr:cNvPicPr>
      </xdr:nvPicPr>
      <xdr:blipFill>
        <a:blip r:embed="rId89"/>
        <a:stretch>
          <a:fillRect/>
        </a:stretch>
      </xdr:blipFill>
      <xdr:spPr>
        <a:xfrm>
          <a:off x="12298680" y="50509805"/>
          <a:ext cx="570230" cy="561340"/>
        </a:xfrm>
        <a:prstGeom prst="rect">
          <a:avLst/>
        </a:prstGeom>
      </xdr:spPr>
    </xdr:pic>
  </etc:cellImage>
  <etc:cellImage>
    <xdr:pic>
      <xdr:nvPicPr>
        <xdr:cNvPr id="72" name="ID_4159C6E67CFE457A86B1C0ED017F8542"/>
        <xdr:cNvPicPr>
          <a:picLocks noChangeAspect="1"/>
        </xdr:cNvPicPr>
      </xdr:nvPicPr>
      <xdr:blipFill>
        <a:blip r:embed="rId90"/>
        <a:stretch>
          <a:fillRect/>
        </a:stretch>
      </xdr:blipFill>
      <xdr:spPr>
        <a:xfrm>
          <a:off x="12315825" y="51151155"/>
          <a:ext cx="599440" cy="758825"/>
        </a:xfrm>
        <a:prstGeom prst="rect">
          <a:avLst/>
        </a:prstGeom>
      </xdr:spPr>
    </xdr:pic>
  </etc:cellImage>
  <etc:cellImage>
    <xdr:pic>
      <xdr:nvPicPr>
        <xdr:cNvPr id="73" name="ID_B0BD7486E99843F6B0CC059B95FC04DC"/>
        <xdr:cNvPicPr>
          <a:picLocks noChangeAspect="1"/>
        </xdr:cNvPicPr>
      </xdr:nvPicPr>
      <xdr:blipFill>
        <a:blip r:embed="rId91"/>
        <a:stretch>
          <a:fillRect/>
        </a:stretch>
      </xdr:blipFill>
      <xdr:spPr>
        <a:xfrm>
          <a:off x="12201525" y="52660550"/>
          <a:ext cx="828675" cy="529590"/>
        </a:xfrm>
        <a:prstGeom prst="rect">
          <a:avLst/>
        </a:prstGeom>
        <a:noFill/>
        <a:ln w="9525">
          <a:noFill/>
        </a:ln>
      </xdr:spPr>
    </xdr:pic>
  </etc:cellImage>
  <etc:cellImage>
    <xdr:pic>
      <xdr:nvPicPr>
        <xdr:cNvPr id="74" name="ID_BE022E259C0D40EDB46F99C58EC56834"/>
        <xdr:cNvPicPr>
          <a:picLocks noChangeAspect="1"/>
        </xdr:cNvPicPr>
      </xdr:nvPicPr>
      <xdr:blipFill>
        <a:blip r:embed="rId92"/>
        <a:stretch>
          <a:fillRect/>
        </a:stretch>
      </xdr:blipFill>
      <xdr:spPr>
        <a:xfrm>
          <a:off x="12315825" y="53309520"/>
          <a:ext cx="518160" cy="584200"/>
        </a:xfrm>
        <a:prstGeom prst="rect">
          <a:avLst/>
        </a:prstGeom>
      </xdr:spPr>
    </xdr:pic>
  </etc:cellImage>
  <etc:cellImage>
    <xdr:pic>
      <xdr:nvPicPr>
        <xdr:cNvPr id="75" name="ID_EF19A13AEA304A25A87EBDB89DB2CBA9"/>
        <xdr:cNvPicPr>
          <a:picLocks noChangeAspect="1"/>
        </xdr:cNvPicPr>
      </xdr:nvPicPr>
      <xdr:blipFill>
        <a:blip r:embed="rId93"/>
        <a:stretch>
          <a:fillRect/>
        </a:stretch>
      </xdr:blipFill>
      <xdr:spPr>
        <a:xfrm>
          <a:off x="12254865" y="54714140"/>
          <a:ext cx="929640" cy="676910"/>
        </a:xfrm>
        <a:prstGeom prst="rect">
          <a:avLst/>
        </a:prstGeom>
        <a:noFill/>
        <a:ln w="9525">
          <a:noFill/>
        </a:ln>
      </xdr:spPr>
    </xdr:pic>
  </etc:cellImage>
  <etc:cellImage>
    <xdr:pic>
      <xdr:nvPicPr>
        <xdr:cNvPr id="76" name="ID_97F40848BF80405E82D40081980374DB"/>
        <xdr:cNvPicPr>
          <a:picLocks noChangeAspect="1"/>
        </xdr:cNvPicPr>
      </xdr:nvPicPr>
      <xdr:blipFill>
        <a:blip r:embed="rId94"/>
        <a:stretch>
          <a:fillRect/>
        </a:stretch>
      </xdr:blipFill>
      <xdr:spPr>
        <a:xfrm>
          <a:off x="12399645" y="55955565"/>
          <a:ext cx="701675" cy="534035"/>
        </a:xfrm>
        <a:prstGeom prst="rect">
          <a:avLst/>
        </a:prstGeom>
        <a:noFill/>
        <a:ln w="9525">
          <a:noFill/>
        </a:ln>
      </xdr:spPr>
    </xdr:pic>
  </etc:cellImage>
  <etc:cellImage>
    <xdr:pic>
      <xdr:nvPicPr>
        <xdr:cNvPr id="77" name="ID_6E1EB61C861C4E71889550803A267D3E"/>
        <xdr:cNvPicPr>
          <a:picLocks noChangeAspect="1"/>
        </xdr:cNvPicPr>
      </xdr:nvPicPr>
      <xdr:blipFill>
        <a:blip r:embed="rId95"/>
        <a:stretch>
          <a:fillRect/>
        </a:stretch>
      </xdr:blipFill>
      <xdr:spPr>
        <a:xfrm>
          <a:off x="12355830" y="56579770"/>
          <a:ext cx="754380" cy="643255"/>
        </a:xfrm>
        <a:prstGeom prst="rect">
          <a:avLst/>
        </a:prstGeom>
      </xdr:spPr>
    </xdr:pic>
  </etc:cellImage>
  <etc:cellImage>
    <xdr:pic>
      <xdr:nvPicPr>
        <xdr:cNvPr id="78" name="ID_8FB86FF89084471FB87AD905ACED1F1F"/>
        <xdr:cNvPicPr>
          <a:picLocks noChangeAspect="1"/>
        </xdr:cNvPicPr>
      </xdr:nvPicPr>
      <xdr:blipFill>
        <a:blip r:embed="rId96"/>
        <a:stretch>
          <a:fillRect/>
        </a:stretch>
      </xdr:blipFill>
      <xdr:spPr>
        <a:xfrm>
          <a:off x="12414885" y="57263030"/>
          <a:ext cx="493395" cy="541020"/>
        </a:xfrm>
        <a:prstGeom prst="rect">
          <a:avLst/>
        </a:prstGeom>
        <a:noFill/>
        <a:ln w="9525">
          <a:noFill/>
        </a:ln>
      </xdr:spPr>
    </xdr:pic>
  </etc:cellImage>
  <etc:cellImage>
    <xdr:pic>
      <xdr:nvPicPr>
        <xdr:cNvPr id="79" name="ID_715E45D9D49E40E89CB77725AAB64668"/>
        <xdr:cNvPicPr>
          <a:picLocks noChangeAspect="1"/>
        </xdr:cNvPicPr>
      </xdr:nvPicPr>
      <xdr:blipFill>
        <a:blip r:embed="rId97"/>
        <a:stretch>
          <a:fillRect/>
        </a:stretch>
      </xdr:blipFill>
      <xdr:spPr>
        <a:xfrm>
          <a:off x="9963150" y="808990"/>
          <a:ext cx="1038225" cy="669925"/>
        </a:xfrm>
        <a:prstGeom prst="rect">
          <a:avLst/>
        </a:prstGeom>
      </xdr:spPr>
    </xdr:pic>
  </etc:cellImage>
  <etc:cellImage>
    <xdr:pic>
      <xdr:nvPicPr>
        <xdr:cNvPr id="80" name="ID_6F4AF2E1894848FEBBA78A4C42939751" descr="28adb7ac9b3ad2a8065e21f874daa8e"/>
        <xdr:cNvPicPr>
          <a:picLocks noChangeAspect="1" noChangeArrowheads="1"/>
        </xdr:cNvPicPr>
      </xdr:nvPicPr>
      <xdr:blipFill>
        <a:blip r:embed="rId98">
          <a:extLst>
            <a:ext uri="{28A0092B-C50C-407E-A947-70E740481C1C}">
              <a14:useLocalDpi xmlns:a14="http://schemas.microsoft.com/office/drawing/2010/main" val="0"/>
            </a:ext>
          </a:extLst>
        </a:blip>
        <a:srcRect/>
        <a:stretch>
          <a:fillRect/>
        </a:stretch>
      </xdr:blipFill>
      <xdr:spPr>
        <a:xfrm>
          <a:off x="9763125" y="1622425"/>
          <a:ext cx="1143000" cy="778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81" name="ID_082594C1F6624DBBA48E7504EE9B89E8" descr="99292f8c7165f9c0efd592093b5b230"/>
        <xdr:cNvPicPr>
          <a:picLocks noChangeAspect="1" noChangeArrowheads="1"/>
        </xdr:cNvPicPr>
      </xdr:nvPicPr>
      <xdr:blipFill>
        <a:blip r:embed="rId99" cstate="print">
          <a:extLst>
            <a:ext uri="{28A0092B-C50C-407E-A947-70E740481C1C}">
              <a14:useLocalDpi xmlns:a14="http://schemas.microsoft.com/office/drawing/2010/main" val="0"/>
            </a:ext>
          </a:extLst>
        </a:blip>
        <a:srcRect/>
        <a:stretch>
          <a:fillRect/>
        </a:stretch>
      </xdr:blipFill>
      <xdr:spPr>
        <a:xfrm>
          <a:off x="10016490" y="2587625"/>
          <a:ext cx="662940" cy="687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84" name="ID_9C1D9BCC13BE47F4828552DDF5C09E31"/>
        <xdr:cNvPicPr>
          <a:picLocks noChangeAspect="1" noChangeArrowheads="1"/>
        </xdr:cNvPicPr>
      </xdr:nvPicPr>
      <xdr:blipFill>
        <a:blip r:embed="rId100" cstate="print">
          <a:extLst>
            <a:ext uri="{28A0092B-C50C-407E-A947-70E740481C1C}">
              <a14:useLocalDpi xmlns:a14="http://schemas.microsoft.com/office/drawing/2010/main" val="0"/>
            </a:ext>
          </a:extLst>
        </a:blip>
        <a:srcRect/>
        <a:stretch>
          <a:fillRect/>
        </a:stretch>
      </xdr:blipFill>
      <xdr:spPr>
        <a:xfrm>
          <a:off x="9816465" y="5869305"/>
          <a:ext cx="1118235" cy="736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85" name="ID_4A4CD7DA597242519DFFF4781CC4FF06"/>
        <xdr:cNvPicPr>
          <a:picLocks noChangeAspect="1" noChangeArrowheads="1"/>
        </xdr:cNvPicPr>
      </xdr:nvPicPr>
      <xdr:blipFill>
        <a:blip r:embed="rId101">
          <a:extLst>
            <a:ext uri="{28A0092B-C50C-407E-A947-70E740481C1C}">
              <a14:useLocalDpi xmlns:a14="http://schemas.microsoft.com/office/drawing/2010/main" val="0"/>
            </a:ext>
          </a:extLst>
        </a:blip>
        <a:srcRect/>
        <a:stretch>
          <a:fillRect/>
        </a:stretch>
      </xdr:blipFill>
      <xdr:spPr>
        <a:xfrm>
          <a:off x="9715500" y="6743700"/>
          <a:ext cx="12801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86" name="ID_AEFB45FF9A86477E9617055D8CED8072"/>
        <xdr:cNvPicPr>
          <a:picLocks noChangeAspect="1" noChangeArrowheads="1"/>
        </xdr:cNvPicPr>
      </xdr:nvPicPr>
      <xdr:blipFill>
        <a:blip r:embed="rId102" cstate="print">
          <a:extLst>
            <a:ext uri="{28A0092B-C50C-407E-A947-70E740481C1C}">
              <a14:useLocalDpi xmlns:a14="http://schemas.microsoft.com/office/drawing/2010/main" val="0"/>
            </a:ext>
          </a:extLst>
        </a:blip>
        <a:srcRect/>
        <a:stretch>
          <a:fillRect/>
        </a:stretch>
      </xdr:blipFill>
      <xdr:spPr>
        <a:xfrm>
          <a:off x="9835515" y="7729855"/>
          <a:ext cx="134112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87" name="ID_8737C3B83C6E4AA78BD38A8FC3394967"/>
        <xdr:cNvPicPr>
          <a:picLocks noChangeAspect="1"/>
        </xdr:cNvPicPr>
      </xdr:nvPicPr>
      <xdr:blipFill>
        <a:blip r:embed="rId103"/>
        <a:stretch>
          <a:fillRect/>
        </a:stretch>
      </xdr:blipFill>
      <xdr:spPr>
        <a:xfrm>
          <a:off x="9888855" y="8765540"/>
          <a:ext cx="1113155" cy="719455"/>
        </a:xfrm>
        <a:prstGeom prst="rect">
          <a:avLst/>
        </a:prstGeom>
      </xdr:spPr>
    </xdr:pic>
  </etc:cellImage>
  <etc:cellImage>
    <xdr:pic>
      <xdr:nvPicPr>
        <xdr:cNvPr id="88" name="ID_94D79F4A984949D8849FEC0159E0AAAA"/>
        <xdr:cNvPicPr>
          <a:picLocks noChangeAspect="1" noChangeArrowheads="1"/>
        </xdr:cNvPicPr>
      </xdr:nvPicPr>
      <xdr:blipFill>
        <a:blip r:embed="rId104" cstate="print">
          <a:extLst>
            <a:ext uri="{28A0092B-C50C-407E-A947-70E740481C1C}">
              <a14:useLocalDpi xmlns:a14="http://schemas.microsoft.com/office/drawing/2010/main" val="0"/>
            </a:ext>
          </a:extLst>
        </a:blip>
        <a:srcRect/>
        <a:stretch>
          <a:fillRect/>
        </a:stretch>
      </xdr:blipFill>
      <xdr:spPr>
        <a:xfrm>
          <a:off x="10024110" y="9677400"/>
          <a:ext cx="704215" cy="8153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89" name="ID_0BB3C19B01F7431FAFE36B302D4BF139"/>
        <xdr:cNvPicPr>
          <a:picLocks noChangeAspect="1" noChangeArrowheads="1"/>
        </xdr:cNvPicPr>
      </xdr:nvPicPr>
      <xdr:blipFill>
        <a:blip r:embed="rId105" cstate="print">
          <a:extLst>
            <a:ext uri="{28A0092B-C50C-407E-A947-70E740481C1C}">
              <a14:useLocalDpi xmlns:a14="http://schemas.microsoft.com/office/drawing/2010/main" val="0"/>
            </a:ext>
          </a:extLst>
        </a:blip>
        <a:srcRect/>
        <a:stretch>
          <a:fillRect/>
        </a:stretch>
      </xdr:blipFill>
      <xdr:spPr>
        <a:xfrm>
          <a:off x="9850755" y="10584180"/>
          <a:ext cx="960120" cy="791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90" name="ID_D55BCDD9B4BB4BFDA5690C0EA7BBEF6B"/>
        <xdr:cNvPicPr>
          <a:picLocks noChangeAspect="1" noChangeArrowheads="1"/>
        </xdr:cNvPicPr>
      </xdr:nvPicPr>
      <xdr:blipFill>
        <a:blip r:embed="rId106" cstate="print">
          <a:extLst>
            <a:ext uri="{28A0092B-C50C-407E-A947-70E740481C1C}">
              <a14:useLocalDpi xmlns:a14="http://schemas.microsoft.com/office/drawing/2010/main" val="0"/>
            </a:ext>
          </a:extLst>
        </a:blip>
        <a:srcRect/>
        <a:stretch>
          <a:fillRect/>
        </a:stretch>
      </xdr:blipFill>
      <xdr:spPr>
        <a:xfrm>
          <a:off x="10005060" y="11589385"/>
          <a:ext cx="5943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91" name="ID_6319EBF822104F258E67D93EDB0F06C0"/>
        <xdr:cNvPicPr>
          <a:picLocks noChangeAspect="1" noChangeArrowheads="1"/>
        </xdr:cNvPicPr>
      </xdr:nvPicPr>
      <xdr:blipFill>
        <a:blip r:embed="rId107" cstate="print">
          <a:extLst>
            <a:ext uri="{28A0092B-C50C-407E-A947-70E740481C1C}">
              <a14:useLocalDpi xmlns:a14="http://schemas.microsoft.com/office/drawing/2010/main" val="0"/>
            </a:ext>
          </a:extLst>
        </a:blip>
        <a:srcRect/>
        <a:stretch>
          <a:fillRect/>
        </a:stretch>
      </xdr:blipFill>
      <xdr:spPr>
        <a:xfrm>
          <a:off x="9730740" y="12573635"/>
          <a:ext cx="126492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92" name="ID_88CA46BA80674FF583A3B99AAC1B6BBB"/>
        <xdr:cNvPicPr>
          <a:picLocks noChangeAspect="1" noChangeArrowheads="1"/>
        </xdr:cNvPicPr>
      </xdr:nvPicPr>
      <xdr:blipFill>
        <a:blip r:embed="rId108" cstate="print">
          <a:extLst>
            <a:ext uri="{28A0092B-C50C-407E-A947-70E740481C1C}">
              <a14:useLocalDpi xmlns:a14="http://schemas.microsoft.com/office/drawing/2010/main" val="0"/>
            </a:ext>
          </a:extLst>
        </a:blip>
        <a:srcRect/>
        <a:stretch>
          <a:fillRect/>
        </a:stretch>
      </xdr:blipFill>
      <xdr:spPr>
        <a:xfrm>
          <a:off x="9906000" y="13527405"/>
          <a:ext cx="8229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93" name="ID_0EB3EAD784CB4D3F9CDCB4D70989004F"/>
        <xdr:cNvPicPr>
          <a:picLocks noChangeAspect="1" noChangeArrowheads="1"/>
        </xdr:cNvPicPr>
      </xdr:nvPicPr>
      <xdr:blipFill>
        <a:blip r:embed="rId109" cstate="print">
          <a:extLst>
            <a:ext uri="{28A0092B-C50C-407E-A947-70E740481C1C}">
              <a14:useLocalDpi xmlns:a14="http://schemas.microsoft.com/office/drawing/2010/main" val="0"/>
            </a:ext>
          </a:extLst>
        </a:blip>
        <a:srcRect/>
        <a:stretch>
          <a:fillRect/>
        </a:stretch>
      </xdr:blipFill>
      <xdr:spPr>
        <a:xfrm>
          <a:off x="9829800" y="14534515"/>
          <a:ext cx="1043940" cy="892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94" name="ID_B5056C51E1D8473BB06E41082B8D3A8C"/>
        <xdr:cNvPicPr>
          <a:picLocks noChangeAspect="1" noChangeArrowheads="1"/>
        </xdr:cNvPicPr>
      </xdr:nvPicPr>
      <xdr:blipFill>
        <a:blip r:embed="rId110" cstate="print">
          <a:extLst>
            <a:ext uri="{28A0092B-C50C-407E-A947-70E740481C1C}">
              <a14:useLocalDpi xmlns:a14="http://schemas.microsoft.com/office/drawing/2010/main" val="0"/>
            </a:ext>
          </a:extLst>
        </a:blip>
        <a:srcRect/>
        <a:stretch>
          <a:fillRect/>
        </a:stretch>
      </xdr:blipFill>
      <xdr:spPr>
        <a:xfrm>
          <a:off x="9723120" y="15505430"/>
          <a:ext cx="1211580" cy="725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95" name="ID_902CAC8DB46D4568B0FD3C84ACD89F55"/>
        <xdr:cNvPicPr>
          <a:picLocks noChangeAspect="1"/>
        </xdr:cNvPicPr>
      </xdr:nvPicPr>
      <xdr:blipFill>
        <a:blip r:embed="rId111"/>
        <a:stretch>
          <a:fillRect/>
        </a:stretch>
      </xdr:blipFill>
      <xdr:spPr>
        <a:xfrm>
          <a:off x="9907905" y="16541115"/>
          <a:ext cx="977900" cy="719455"/>
        </a:xfrm>
        <a:prstGeom prst="rect">
          <a:avLst/>
        </a:prstGeom>
      </xdr:spPr>
    </xdr:pic>
  </etc:cellImage>
  <etc:cellImage>
    <xdr:pic>
      <xdr:nvPicPr>
        <xdr:cNvPr id="96" name="ID_CF0C738B0DCD40BCB42B0F5DCAC0010B"/>
        <xdr:cNvPicPr>
          <a:picLocks noChangeAspect="1" noChangeArrowheads="1"/>
        </xdr:cNvPicPr>
      </xdr:nvPicPr>
      <xdr:blipFill>
        <a:blip r:embed="rId112" cstate="print">
          <a:extLst>
            <a:ext uri="{28A0092B-C50C-407E-A947-70E740481C1C}">
              <a14:useLocalDpi xmlns:a14="http://schemas.microsoft.com/office/drawing/2010/main" val="0"/>
            </a:ext>
          </a:extLst>
        </a:blip>
        <a:srcRect/>
        <a:stretch>
          <a:fillRect/>
        </a:stretch>
      </xdr:blipFill>
      <xdr:spPr>
        <a:xfrm>
          <a:off x="9883140" y="17441545"/>
          <a:ext cx="9753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97" name="ID_79B4CDE4EE2B4D8EAA14EB59BB9433B3"/>
        <xdr:cNvPicPr>
          <a:picLocks noChangeAspect="1"/>
        </xdr:cNvPicPr>
      </xdr:nvPicPr>
      <xdr:blipFill>
        <a:blip r:embed="rId103"/>
        <a:stretch>
          <a:fillRect/>
        </a:stretch>
      </xdr:blipFill>
      <xdr:spPr>
        <a:xfrm>
          <a:off x="9784080" y="18517235"/>
          <a:ext cx="1113155" cy="719455"/>
        </a:xfrm>
        <a:prstGeom prst="rect">
          <a:avLst/>
        </a:prstGeom>
      </xdr:spPr>
    </xdr:pic>
  </etc:cellImage>
  <etc:cellImage>
    <xdr:pic>
      <xdr:nvPicPr>
        <xdr:cNvPr id="98" name="ID_81ADED288AD64FF7BCB7294F144FC9CF"/>
        <xdr:cNvPicPr>
          <a:picLocks noChangeAspect="1"/>
        </xdr:cNvPicPr>
      </xdr:nvPicPr>
      <xdr:blipFill>
        <a:blip r:embed="rId113"/>
        <a:stretch>
          <a:fillRect/>
        </a:stretch>
      </xdr:blipFill>
      <xdr:spPr>
        <a:xfrm>
          <a:off x="10012680" y="19471005"/>
          <a:ext cx="563880" cy="664210"/>
        </a:xfrm>
        <a:prstGeom prst="rect">
          <a:avLst/>
        </a:prstGeom>
      </xdr:spPr>
    </xdr:pic>
  </etc:cellImage>
  <etc:cellImage>
    <xdr:pic>
      <xdr:nvPicPr>
        <xdr:cNvPr id="99" name="ID_D9DB5E405DA04724A931D99BA21E6EDE"/>
        <xdr:cNvPicPr>
          <a:picLocks noChangeAspect="1" noChangeArrowheads="1"/>
        </xdr:cNvPicPr>
      </xdr:nvPicPr>
      <xdr:blipFill>
        <a:blip r:embed="rId114" cstate="print">
          <a:extLst>
            <a:ext uri="{28A0092B-C50C-407E-A947-70E740481C1C}">
              <a14:useLocalDpi xmlns:a14="http://schemas.microsoft.com/office/drawing/2010/main" val="0"/>
            </a:ext>
          </a:extLst>
        </a:blip>
        <a:srcRect/>
        <a:stretch>
          <a:fillRect/>
        </a:stretch>
      </xdr:blipFill>
      <xdr:spPr>
        <a:xfrm>
          <a:off x="9715500" y="20371435"/>
          <a:ext cx="1247775" cy="7962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00" name="ID_0ED7ACD83D77463BBC8EA8E859AB3B3A"/>
        <xdr:cNvPicPr>
          <a:picLocks noChangeAspect="1" noChangeArrowheads="1"/>
        </xdr:cNvPicPr>
      </xdr:nvPicPr>
      <xdr:blipFill>
        <a:blip r:embed="rId115" cstate="print">
          <a:extLst>
            <a:ext uri="{28A0092B-C50C-407E-A947-70E740481C1C}">
              <a14:useLocalDpi xmlns:a14="http://schemas.microsoft.com/office/drawing/2010/main" val="0"/>
            </a:ext>
          </a:extLst>
        </a:blip>
        <a:srcRect/>
        <a:stretch>
          <a:fillRect/>
        </a:stretch>
      </xdr:blipFill>
      <xdr:spPr>
        <a:xfrm>
          <a:off x="10058400" y="21293455"/>
          <a:ext cx="5562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01" name="ID_24663595EA4846188EE69FD875536793"/>
        <xdr:cNvPicPr>
          <a:picLocks noChangeAspect="1" noChangeArrowheads="1"/>
        </xdr:cNvPicPr>
      </xdr:nvPicPr>
      <xdr:blipFill>
        <a:blip r:embed="rId116" cstate="print">
          <a:extLst>
            <a:ext uri="{28A0092B-C50C-407E-A947-70E740481C1C}">
              <a14:useLocalDpi xmlns:a14="http://schemas.microsoft.com/office/drawing/2010/main" val="0"/>
            </a:ext>
          </a:extLst>
        </a:blip>
        <a:srcRect r="38415"/>
        <a:stretch>
          <a:fillRect/>
        </a:stretch>
      </xdr:blipFill>
      <xdr:spPr>
        <a:xfrm>
          <a:off x="9930765" y="22281515"/>
          <a:ext cx="746760" cy="871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02" name="ID_BF1F5007A5154D1FA6446C3539C5B85C"/>
        <xdr:cNvPicPr>
          <a:picLocks noChangeAspect="1" noChangeArrowheads="1"/>
        </xdr:cNvPicPr>
      </xdr:nvPicPr>
      <xdr:blipFill>
        <a:blip r:embed="rId117" cstate="print">
          <a:extLst>
            <a:ext uri="{28A0092B-C50C-407E-A947-70E740481C1C}">
              <a14:useLocalDpi xmlns:a14="http://schemas.microsoft.com/office/drawing/2010/main" val="0"/>
            </a:ext>
          </a:extLst>
        </a:blip>
        <a:srcRect/>
        <a:stretch>
          <a:fillRect/>
        </a:stretch>
      </xdr:blipFill>
      <xdr:spPr>
        <a:xfrm>
          <a:off x="9913620" y="23261955"/>
          <a:ext cx="807720" cy="892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03" name="ID_6CA10D7D5EB242E49B07042FE2ABB163"/>
        <xdr:cNvPicPr>
          <a:picLocks noChangeAspect="1" noChangeArrowheads="1"/>
        </xdr:cNvPicPr>
      </xdr:nvPicPr>
      <xdr:blipFill>
        <a:blip r:embed="rId118" cstate="print">
          <a:extLst>
            <a:ext uri="{28A0092B-C50C-407E-A947-70E740481C1C}">
              <a14:useLocalDpi xmlns:a14="http://schemas.microsoft.com/office/drawing/2010/main" val="0"/>
            </a:ext>
          </a:extLst>
        </a:blip>
        <a:srcRect/>
        <a:stretch>
          <a:fillRect/>
        </a:stretch>
      </xdr:blipFill>
      <xdr:spPr>
        <a:xfrm>
          <a:off x="9883140" y="24215725"/>
          <a:ext cx="8991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04" name="ID_FDFB6B45780140AD8E2AE59C0BBCAA9C"/>
        <xdr:cNvPicPr>
          <a:picLocks noChangeAspect="1" noChangeArrowheads="1"/>
        </xdr:cNvPicPr>
      </xdr:nvPicPr>
      <xdr:blipFill>
        <a:blip r:embed="rId119" cstate="print">
          <a:extLst>
            <a:ext uri="{28A0092B-C50C-407E-A947-70E740481C1C}">
              <a14:useLocalDpi xmlns:a14="http://schemas.microsoft.com/office/drawing/2010/main" val="0"/>
            </a:ext>
          </a:extLst>
        </a:blip>
        <a:srcRect/>
        <a:stretch>
          <a:fillRect/>
        </a:stretch>
      </xdr:blipFill>
      <xdr:spPr>
        <a:xfrm>
          <a:off x="9921240" y="25199975"/>
          <a:ext cx="88392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05" name="ID_B64882BA027B4BF49070CD57A755F7BB"/>
        <xdr:cNvPicPr>
          <a:picLocks noChangeAspect="1" noChangeArrowheads="1"/>
        </xdr:cNvPicPr>
      </xdr:nvPicPr>
      <xdr:blipFill>
        <a:blip r:embed="rId120" cstate="print">
          <a:extLst>
            <a:ext uri="{28A0092B-C50C-407E-A947-70E740481C1C}">
              <a14:useLocalDpi xmlns:a14="http://schemas.microsoft.com/office/drawing/2010/main" val="0"/>
            </a:ext>
          </a:extLst>
        </a:blip>
        <a:srcRect/>
        <a:stretch>
          <a:fillRect/>
        </a:stretch>
      </xdr:blipFill>
      <xdr:spPr>
        <a:xfrm>
          <a:off x="9974580" y="26191845"/>
          <a:ext cx="754380" cy="892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06" name="ID_FBC081A4BEF8414584D6959566784536"/>
        <xdr:cNvPicPr>
          <a:picLocks noChangeAspect="1" noChangeArrowheads="1"/>
        </xdr:cNvPicPr>
      </xdr:nvPicPr>
      <xdr:blipFill>
        <a:blip r:embed="rId121" cstate="print">
          <a:extLst>
            <a:ext uri="{28A0092B-C50C-407E-A947-70E740481C1C}">
              <a14:useLocalDpi xmlns:a14="http://schemas.microsoft.com/office/drawing/2010/main" val="0"/>
            </a:ext>
          </a:extLst>
        </a:blip>
        <a:srcRect/>
        <a:stretch>
          <a:fillRect/>
        </a:stretch>
      </xdr:blipFill>
      <xdr:spPr>
        <a:xfrm>
          <a:off x="10035540" y="27145615"/>
          <a:ext cx="67818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17" name="ID_915599ED7A684670860919248AA365C7" descr="1644974707(1)"/>
        <xdr:cNvPicPr>
          <a:picLocks noChangeAspect="1" noChangeArrowheads="1"/>
        </xdr:cNvPicPr>
      </xdr:nvPicPr>
      <xdr:blipFill>
        <a:blip r:embed="rId122" cstate="print">
          <a:extLst>
            <a:ext uri="{28A0092B-C50C-407E-A947-70E740481C1C}">
              <a14:useLocalDpi xmlns:a14="http://schemas.microsoft.com/office/drawing/2010/main" val="0"/>
            </a:ext>
          </a:extLst>
        </a:blip>
        <a:srcRect/>
        <a:stretch>
          <a:fillRect/>
        </a:stretch>
      </xdr:blipFill>
      <xdr:spPr>
        <a:xfrm>
          <a:off x="10022205" y="28162250"/>
          <a:ext cx="598170" cy="7296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20" name="ID_F79B36FAEC724E26AB5F9358FDFC5B82"/>
        <xdr:cNvPicPr>
          <a:picLocks noChangeAspect="1" noChangeArrowheads="1"/>
        </xdr:cNvPicPr>
      </xdr:nvPicPr>
      <xdr:blipFill>
        <a:blip r:embed="rId123" cstate="print">
          <a:extLst>
            <a:ext uri="{28A0092B-C50C-407E-A947-70E740481C1C}">
              <a14:useLocalDpi xmlns:a14="http://schemas.microsoft.com/office/drawing/2010/main" val="0"/>
            </a:ext>
          </a:extLst>
        </a:blip>
        <a:srcRect/>
        <a:stretch>
          <a:fillRect/>
        </a:stretch>
      </xdr:blipFill>
      <xdr:spPr>
        <a:xfrm>
          <a:off x="9907905" y="29068395"/>
          <a:ext cx="90297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62" name="ID_ABCF89F6FDD44E389A4CBC2328AE8396"/>
        <xdr:cNvPicPr>
          <a:picLocks noChangeAspect="1" noChangeArrowheads="1"/>
        </xdr:cNvPicPr>
      </xdr:nvPicPr>
      <xdr:blipFill>
        <a:blip r:embed="rId124" cstate="print">
          <a:extLst>
            <a:ext uri="{28A0092B-C50C-407E-A947-70E740481C1C}">
              <a14:useLocalDpi xmlns:a14="http://schemas.microsoft.com/office/drawing/2010/main" val="0"/>
            </a:ext>
          </a:extLst>
        </a:blip>
        <a:srcRect/>
        <a:stretch>
          <a:fillRect/>
        </a:stretch>
      </xdr:blipFill>
      <xdr:spPr>
        <a:xfrm>
          <a:off x="9843135" y="29904055"/>
          <a:ext cx="958215" cy="10610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2" name="ID_08B747AD3A5B451E84296BF3D4B3B713" descr="b3121f08f8b0df3c45dc9588b8117be"/>
        <xdr:cNvPicPr>
          <a:picLocks noChangeAspect="1" noChangeArrowheads="1"/>
        </xdr:cNvPicPr>
      </xdr:nvPicPr>
      <xdr:blipFill>
        <a:blip r:embed="rId125" cstate="print">
          <a:extLst>
            <a:ext uri="{28A0092B-C50C-407E-A947-70E740481C1C}">
              <a14:useLocalDpi xmlns:a14="http://schemas.microsoft.com/office/drawing/2010/main" val="0"/>
            </a:ext>
          </a:extLst>
        </a:blip>
        <a:srcRect/>
        <a:stretch>
          <a:fillRect/>
        </a:stretch>
      </xdr:blipFill>
      <xdr:spPr>
        <a:xfrm>
          <a:off x="9974580" y="31188660"/>
          <a:ext cx="753745" cy="751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3" name="ID_1292CD1D6F894088BC98687BFCCAC951"/>
        <xdr:cNvPicPr>
          <a:picLocks noChangeAspect="1" noChangeArrowheads="1"/>
        </xdr:cNvPicPr>
      </xdr:nvPicPr>
      <xdr:blipFill>
        <a:blip r:embed="rId126" cstate="print">
          <a:extLst>
            <a:ext uri="{28A0092B-C50C-407E-A947-70E740481C1C}">
              <a14:useLocalDpi xmlns:a14="http://schemas.microsoft.com/office/drawing/2010/main" val="0"/>
            </a:ext>
          </a:extLst>
        </a:blip>
        <a:srcRect/>
        <a:stretch>
          <a:fillRect/>
        </a:stretch>
      </xdr:blipFill>
      <xdr:spPr>
        <a:xfrm>
          <a:off x="9805035" y="32177355"/>
          <a:ext cx="1129665" cy="690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4" name="ID_2C250580754244ACB640ECE7E89CE7A8"/>
        <xdr:cNvPicPr>
          <a:picLocks noChangeAspect="1" noChangeArrowheads="1"/>
        </xdr:cNvPicPr>
      </xdr:nvPicPr>
      <xdr:blipFill>
        <a:blip r:embed="rId127">
          <a:extLst>
            <a:ext uri="{28A0092B-C50C-407E-A947-70E740481C1C}">
              <a14:useLocalDpi xmlns:a14="http://schemas.microsoft.com/office/drawing/2010/main" val="0"/>
            </a:ext>
          </a:extLst>
        </a:blip>
        <a:srcRect/>
        <a:stretch>
          <a:fillRect/>
        </a:stretch>
      </xdr:blipFill>
      <xdr:spPr>
        <a:xfrm>
          <a:off x="9685020" y="33192085"/>
          <a:ext cx="1356360" cy="563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5" name="ID_258F2E9B3E774351B819EF0BE8FF1279" descr="1632470461"/>
        <xdr:cNvPicPr>
          <a:picLocks noChangeAspect="1" noChangeArrowheads="1"/>
        </xdr:cNvPicPr>
      </xdr:nvPicPr>
      <xdr:blipFill>
        <a:blip r:embed="rId128" cstate="print">
          <a:extLst>
            <a:ext uri="{28A0092B-C50C-407E-A947-70E740481C1C}">
              <a14:useLocalDpi xmlns:a14="http://schemas.microsoft.com/office/drawing/2010/main" val="0"/>
            </a:ext>
          </a:extLst>
        </a:blip>
        <a:srcRect/>
        <a:stretch>
          <a:fillRect/>
        </a:stretch>
      </xdr:blipFill>
      <xdr:spPr>
        <a:xfrm>
          <a:off x="9879330" y="34019490"/>
          <a:ext cx="886460" cy="748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6" name="ID_F6AE5B809B8545F789BB3A7F84D5AB8D"/>
        <xdr:cNvPicPr>
          <a:picLocks noChangeAspect="1" noChangeArrowheads="1"/>
        </xdr:cNvPicPr>
      </xdr:nvPicPr>
      <xdr:blipFill>
        <a:blip r:embed="rId129">
          <a:extLst>
            <a:ext uri="{28A0092B-C50C-407E-A947-70E740481C1C}">
              <a14:useLocalDpi xmlns:a14="http://schemas.microsoft.com/office/drawing/2010/main" val="0"/>
            </a:ext>
          </a:extLst>
        </a:blip>
        <a:srcRect/>
        <a:stretch>
          <a:fillRect/>
        </a:stretch>
      </xdr:blipFill>
      <xdr:spPr>
        <a:xfrm>
          <a:off x="9639300" y="34955480"/>
          <a:ext cx="1440180" cy="830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7" name="ID_54C12A4EBBDD42AFA1809AE99FA7855D"/>
        <xdr:cNvPicPr>
          <a:picLocks noChangeAspect="1" noChangeArrowheads="1"/>
        </xdr:cNvPicPr>
      </xdr:nvPicPr>
      <xdr:blipFill>
        <a:blip r:embed="rId130" cstate="print">
          <a:extLst>
            <a:ext uri="{28A0092B-C50C-407E-A947-70E740481C1C}">
              <a14:useLocalDpi xmlns:a14="http://schemas.microsoft.com/office/drawing/2010/main" val="0"/>
            </a:ext>
          </a:extLst>
        </a:blip>
        <a:srcRect/>
        <a:stretch>
          <a:fillRect/>
        </a:stretch>
      </xdr:blipFill>
      <xdr:spPr>
        <a:xfrm>
          <a:off x="9799320" y="35855910"/>
          <a:ext cx="111252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8" name="ID_6BA8FCC726B441E5BCA30A4CC1A1040B"/>
        <xdr:cNvPicPr>
          <a:picLocks noChangeAspect="1" noChangeArrowheads="1"/>
        </xdr:cNvPicPr>
      </xdr:nvPicPr>
      <xdr:blipFill>
        <a:blip r:embed="rId131" cstate="print">
          <a:extLst>
            <a:ext uri="{28A0092B-C50C-407E-A947-70E740481C1C}">
              <a14:useLocalDpi xmlns:a14="http://schemas.microsoft.com/office/drawing/2010/main" val="0"/>
            </a:ext>
          </a:extLst>
        </a:blip>
        <a:srcRect/>
        <a:stretch>
          <a:fillRect/>
        </a:stretch>
      </xdr:blipFill>
      <xdr:spPr>
        <a:xfrm>
          <a:off x="9869805" y="36857940"/>
          <a:ext cx="969645" cy="778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199" name="ID_F80E00FCDCF949B59D4015A33181174E"/>
        <xdr:cNvPicPr>
          <a:picLocks noChangeAspect="1"/>
        </xdr:cNvPicPr>
      </xdr:nvPicPr>
      <xdr:blipFill>
        <a:blip r:embed="rId132"/>
        <a:stretch>
          <a:fillRect/>
        </a:stretch>
      </xdr:blipFill>
      <xdr:spPr>
        <a:xfrm>
          <a:off x="10086975" y="37825680"/>
          <a:ext cx="523875" cy="784860"/>
        </a:xfrm>
        <a:prstGeom prst="rect">
          <a:avLst/>
        </a:prstGeom>
      </xdr:spPr>
    </xdr:pic>
  </etc:cellImage>
  <etc:cellImage>
    <xdr:pic>
      <xdr:nvPicPr>
        <xdr:cNvPr id="200" name="ID_41ECE602B8FB42FFB352F136B79C00DA"/>
        <xdr:cNvPicPr>
          <a:picLocks noChangeAspect="1"/>
        </xdr:cNvPicPr>
      </xdr:nvPicPr>
      <xdr:blipFill>
        <a:blip r:embed="rId133" cstate="print"/>
        <a:stretch>
          <a:fillRect/>
        </a:stretch>
      </xdr:blipFill>
      <xdr:spPr>
        <a:xfrm rot="16200000">
          <a:off x="9930765" y="38701345"/>
          <a:ext cx="616585" cy="861060"/>
        </a:xfrm>
        <a:prstGeom prst="rect">
          <a:avLst/>
        </a:prstGeom>
      </xdr:spPr>
    </xdr:pic>
  </etc:cellImage>
  <etc:cellImage>
    <xdr:pic>
      <xdr:nvPicPr>
        <xdr:cNvPr id="201" name="ID_508315E1890647F489FF43BA68A36C9A"/>
        <xdr:cNvPicPr>
          <a:picLocks noChangeAspect="1"/>
        </xdr:cNvPicPr>
      </xdr:nvPicPr>
      <xdr:blipFill>
        <a:blip r:embed="rId134"/>
        <a:stretch>
          <a:fillRect/>
        </a:stretch>
      </xdr:blipFill>
      <xdr:spPr>
        <a:xfrm>
          <a:off x="9898380" y="39900225"/>
          <a:ext cx="817880" cy="459105"/>
        </a:xfrm>
        <a:prstGeom prst="rect">
          <a:avLst/>
        </a:prstGeom>
      </xdr:spPr>
    </xdr:pic>
  </etc:cellImage>
  <etc:cellImage>
    <xdr:pic>
      <xdr:nvPicPr>
        <xdr:cNvPr id="202" name="ID_EE1A665AC14345ACB82098345FCFC2C2"/>
        <xdr:cNvPicPr>
          <a:picLocks noChangeAspect="1"/>
        </xdr:cNvPicPr>
      </xdr:nvPicPr>
      <xdr:blipFill>
        <a:blip r:embed="rId135"/>
        <a:stretch>
          <a:fillRect/>
        </a:stretch>
      </xdr:blipFill>
      <xdr:spPr>
        <a:xfrm>
          <a:off x="10008870" y="40844470"/>
          <a:ext cx="708660" cy="591820"/>
        </a:xfrm>
        <a:prstGeom prst="rect">
          <a:avLst/>
        </a:prstGeom>
      </xdr:spPr>
    </xdr:pic>
  </etc:cellImage>
  <etc:cellImage>
    <xdr:pic>
      <xdr:nvPicPr>
        <xdr:cNvPr id="203" name="ID_39A58F6123464970BFA0D1A1B6333B24"/>
        <xdr:cNvPicPr>
          <a:picLocks noChangeAspect="1"/>
        </xdr:cNvPicPr>
      </xdr:nvPicPr>
      <xdr:blipFill>
        <a:blip r:embed="rId136"/>
        <a:stretch>
          <a:fillRect/>
        </a:stretch>
      </xdr:blipFill>
      <xdr:spPr>
        <a:xfrm>
          <a:off x="10020300" y="41712515"/>
          <a:ext cx="640715" cy="719455"/>
        </a:xfrm>
        <a:prstGeom prst="rect">
          <a:avLst/>
        </a:prstGeom>
      </xdr:spPr>
    </xdr:pic>
  </etc:cellImage>
  <etc:cellImage>
    <xdr:pic>
      <xdr:nvPicPr>
        <xdr:cNvPr id="204" name="ID_CEC2D13CD10D406FB62C3AF9D43D9F84"/>
        <xdr:cNvPicPr>
          <a:picLocks noChangeAspect="1"/>
        </xdr:cNvPicPr>
      </xdr:nvPicPr>
      <xdr:blipFill>
        <a:blip r:embed="rId137"/>
        <a:stretch>
          <a:fillRect/>
        </a:stretch>
      </xdr:blipFill>
      <xdr:spPr>
        <a:xfrm>
          <a:off x="9941560" y="42904410"/>
          <a:ext cx="849630" cy="341630"/>
        </a:xfrm>
        <a:prstGeom prst="rect">
          <a:avLst/>
        </a:prstGeom>
      </xdr:spPr>
    </xdr:pic>
  </etc:cellImage>
  <etc:cellImage>
    <xdr:pic>
      <xdr:nvPicPr>
        <xdr:cNvPr id="205" name="ID_5BBD3CBB316A4139A20D548B86EA395E"/>
        <xdr:cNvPicPr>
          <a:picLocks noChangeAspect="1"/>
        </xdr:cNvPicPr>
      </xdr:nvPicPr>
      <xdr:blipFill>
        <a:blip r:embed="rId138"/>
        <a:stretch>
          <a:fillRect/>
        </a:stretch>
      </xdr:blipFill>
      <xdr:spPr>
        <a:xfrm>
          <a:off x="10140315" y="43726100"/>
          <a:ext cx="502920" cy="595630"/>
        </a:xfrm>
        <a:prstGeom prst="rect">
          <a:avLst/>
        </a:prstGeom>
      </xdr:spPr>
    </xdr:pic>
  </etc:cellImage>
  <etc:cellImage>
    <xdr:pic>
      <xdr:nvPicPr>
        <xdr:cNvPr id="206" name="ID_7ECFEA1484104834B4AEC0443C0252FC"/>
        <xdr:cNvPicPr>
          <a:picLocks noChangeAspect="1"/>
        </xdr:cNvPicPr>
      </xdr:nvPicPr>
      <xdr:blipFill>
        <a:blip r:embed="rId139"/>
        <a:stretch>
          <a:fillRect/>
        </a:stretch>
      </xdr:blipFill>
      <xdr:spPr>
        <a:xfrm>
          <a:off x="9981565" y="44651295"/>
          <a:ext cx="800735" cy="484505"/>
        </a:xfrm>
        <a:prstGeom prst="rect">
          <a:avLst/>
        </a:prstGeom>
      </xdr:spPr>
    </xdr:pic>
  </etc:cellImage>
  <etc:cellImage>
    <xdr:pic>
      <xdr:nvPicPr>
        <xdr:cNvPr id="207" name="ID_C7A256FDC20F4387ABDE326C583AC37A"/>
        <xdr:cNvPicPr>
          <a:picLocks noChangeAspect="1"/>
        </xdr:cNvPicPr>
      </xdr:nvPicPr>
      <xdr:blipFill>
        <a:blip r:embed="rId140"/>
        <a:stretch>
          <a:fillRect/>
        </a:stretch>
      </xdr:blipFill>
      <xdr:spPr>
        <a:xfrm>
          <a:off x="10022205" y="45642530"/>
          <a:ext cx="777240" cy="234950"/>
        </a:xfrm>
        <a:prstGeom prst="rect">
          <a:avLst/>
        </a:prstGeom>
      </xdr:spPr>
    </xdr:pic>
  </etc:cellImage>
  <etc:cellImage>
    <xdr:pic>
      <xdr:nvPicPr>
        <xdr:cNvPr id="208" name="ID_DFA7F0B4BA7D448BBEAED93148E25239"/>
        <xdr:cNvPicPr>
          <a:picLocks noChangeAspect="1"/>
        </xdr:cNvPicPr>
      </xdr:nvPicPr>
      <xdr:blipFill>
        <a:blip r:embed="rId141"/>
        <a:stretch>
          <a:fillRect/>
        </a:stretch>
      </xdr:blipFill>
      <xdr:spPr>
        <a:xfrm>
          <a:off x="10036810" y="46395005"/>
          <a:ext cx="609600" cy="658495"/>
        </a:xfrm>
        <a:prstGeom prst="rect">
          <a:avLst/>
        </a:prstGeom>
      </xdr:spPr>
    </xdr:pic>
  </etc:cellImage>
  <etc:cellImage>
    <xdr:pic>
      <xdr:nvPicPr>
        <xdr:cNvPr id="209" name="ID_4D75F0D34A0A42E69340034A214A2DF1"/>
        <xdr:cNvPicPr>
          <a:picLocks noChangeAspect="1"/>
        </xdr:cNvPicPr>
      </xdr:nvPicPr>
      <xdr:blipFill>
        <a:blip r:embed="rId142"/>
        <a:stretch>
          <a:fillRect/>
        </a:stretch>
      </xdr:blipFill>
      <xdr:spPr>
        <a:xfrm>
          <a:off x="10018395" y="47466250"/>
          <a:ext cx="799465" cy="522605"/>
        </a:xfrm>
        <a:prstGeom prst="rect">
          <a:avLst/>
        </a:prstGeom>
      </xdr:spPr>
    </xdr:pic>
  </etc:cellImage>
  <etc:cellImage>
    <xdr:pic>
      <xdr:nvPicPr>
        <xdr:cNvPr id="210" name="ID_8498455E3BC04A45B1C30F02CD01FF6B"/>
        <xdr:cNvPicPr>
          <a:picLocks noChangeAspect="1"/>
        </xdr:cNvPicPr>
      </xdr:nvPicPr>
      <xdr:blipFill>
        <a:blip r:embed="rId143"/>
        <a:stretch>
          <a:fillRect/>
        </a:stretch>
      </xdr:blipFill>
      <xdr:spPr>
        <a:xfrm>
          <a:off x="10062210" y="48359060"/>
          <a:ext cx="824865" cy="518160"/>
        </a:xfrm>
        <a:prstGeom prst="rect">
          <a:avLst/>
        </a:prstGeom>
      </xdr:spPr>
    </xdr:pic>
  </etc:cellImage>
  <etc:cellImage>
    <xdr:pic>
      <xdr:nvPicPr>
        <xdr:cNvPr id="211" name="ID_0274344FA56B43218EF40ABD7C4DFE50"/>
        <xdr:cNvPicPr>
          <a:picLocks noChangeAspect="1"/>
        </xdr:cNvPicPr>
      </xdr:nvPicPr>
      <xdr:blipFill>
        <a:blip r:embed="rId144"/>
        <a:stretch>
          <a:fillRect/>
        </a:stretch>
      </xdr:blipFill>
      <xdr:spPr>
        <a:xfrm>
          <a:off x="10043160" y="49305210"/>
          <a:ext cx="789940" cy="548640"/>
        </a:xfrm>
        <a:prstGeom prst="rect">
          <a:avLst/>
        </a:prstGeom>
      </xdr:spPr>
    </xdr:pic>
  </etc:cellImage>
  <etc:cellImage>
    <xdr:pic>
      <xdr:nvPicPr>
        <xdr:cNvPr id="212" name="ID_C096E173C4D04D559F6D2427C6AF43B7"/>
        <xdr:cNvPicPr>
          <a:picLocks noChangeAspect="1"/>
        </xdr:cNvPicPr>
      </xdr:nvPicPr>
      <xdr:blipFill>
        <a:blip r:embed="rId145"/>
        <a:stretch>
          <a:fillRect/>
        </a:stretch>
      </xdr:blipFill>
      <xdr:spPr>
        <a:xfrm>
          <a:off x="10170795" y="50260885"/>
          <a:ext cx="579120" cy="649605"/>
        </a:xfrm>
        <a:prstGeom prst="rect">
          <a:avLst/>
        </a:prstGeom>
      </xdr:spPr>
    </xdr:pic>
  </etc:cellImage>
  <etc:cellImage>
    <xdr:pic>
      <xdr:nvPicPr>
        <xdr:cNvPr id="214" name="ID_213CA502F87F4445BD81BB0360669D1A"/>
        <xdr:cNvPicPr>
          <a:picLocks noChangeAspect="1" noChangeArrowheads="1"/>
        </xdr:cNvPicPr>
      </xdr:nvPicPr>
      <xdr:blipFill>
        <a:blip r:embed="rId146" cstate="print">
          <a:extLst>
            <a:ext uri="{28A0092B-C50C-407E-A947-70E740481C1C}">
              <a14:useLocalDpi xmlns:a14="http://schemas.microsoft.com/office/drawing/2010/main" val="0"/>
            </a:ext>
          </a:extLst>
        </a:blip>
        <a:srcRect/>
        <a:stretch>
          <a:fillRect/>
        </a:stretch>
      </xdr:blipFill>
      <xdr:spPr>
        <a:xfrm>
          <a:off x="10199370" y="52139850"/>
          <a:ext cx="381000" cy="9867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43" name="ID_B5563E4B67464A58A9B0A1F007727CD4"/>
        <xdr:cNvPicPr>
          <a:picLocks noChangeAspect="1"/>
        </xdr:cNvPicPr>
      </xdr:nvPicPr>
      <xdr:blipFill>
        <a:blip r:embed="rId147"/>
        <a:stretch>
          <a:fillRect/>
        </a:stretch>
      </xdr:blipFill>
      <xdr:spPr>
        <a:xfrm>
          <a:off x="8646795" y="5332730"/>
          <a:ext cx="944880" cy="591185"/>
        </a:xfrm>
        <a:prstGeom prst="rect">
          <a:avLst/>
        </a:prstGeom>
      </xdr:spPr>
    </xdr:pic>
  </etc:cellImage>
  <etc:cellImage>
    <xdr:pic>
      <xdr:nvPicPr>
        <xdr:cNvPr id="244" name="ID_646152806F454F2C9869EA3C73E1E4DD"/>
        <xdr:cNvPicPr>
          <a:picLocks noChangeAspect="1"/>
        </xdr:cNvPicPr>
      </xdr:nvPicPr>
      <xdr:blipFill>
        <a:blip r:embed="rId148"/>
        <a:stretch>
          <a:fillRect/>
        </a:stretch>
      </xdr:blipFill>
      <xdr:spPr>
        <a:xfrm>
          <a:off x="8519160" y="6017895"/>
          <a:ext cx="1194435" cy="535940"/>
        </a:xfrm>
        <a:prstGeom prst="rect">
          <a:avLst/>
        </a:prstGeom>
      </xdr:spPr>
    </xdr:pic>
  </etc:cellImage>
  <etc:cellImage>
    <xdr:pic>
      <xdr:nvPicPr>
        <xdr:cNvPr id="245" name="ID_C1ED437093914A81B4E24CD1CEC1D761"/>
        <xdr:cNvPicPr>
          <a:picLocks noChangeAspect="1"/>
        </xdr:cNvPicPr>
      </xdr:nvPicPr>
      <xdr:blipFill>
        <a:blip r:embed="rId149"/>
        <a:stretch>
          <a:fillRect/>
        </a:stretch>
      </xdr:blipFill>
      <xdr:spPr>
        <a:xfrm>
          <a:off x="8660130" y="6689090"/>
          <a:ext cx="956945" cy="359410"/>
        </a:xfrm>
        <a:prstGeom prst="rect">
          <a:avLst/>
        </a:prstGeom>
      </xdr:spPr>
    </xdr:pic>
  </etc:cellImage>
  <etc:cellImage>
    <xdr:pic>
      <xdr:nvPicPr>
        <xdr:cNvPr id="246" name="ID_8C5E69EA9BC0483980EB2E6BEF794827"/>
        <xdr:cNvPicPr>
          <a:picLocks noChangeAspect="1"/>
        </xdr:cNvPicPr>
      </xdr:nvPicPr>
      <xdr:blipFill>
        <a:blip r:embed="rId150"/>
        <a:stretch>
          <a:fillRect/>
        </a:stretch>
      </xdr:blipFill>
      <xdr:spPr>
        <a:xfrm>
          <a:off x="8722995" y="7197725"/>
          <a:ext cx="685800" cy="510540"/>
        </a:xfrm>
        <a:prstGeom prst="rect">
          <a:avLst/>
        </a:prstGeom>
      </xdr:spPr>
    </xdr:pic>
  </etc:cellImage>
  <etc:cellImage>
    <xdr:pic>
      <xdr:nvPicPr>
        <xdr:cNvPr id="247" name="ID_F4B9A4C58696494388D804607EBF9BBE"/>
        <xdr:cNvPicPr>
          <a:picLocks noChangeAspect="1"/>
        </xdr:cNvPicPr>
      </xdr:nvPicPr>
      <xdr:blipFill>
        <a:blip r:embed="rId151"/>
        <a:stretch>
          <a:fillRect/>
        </a:stretch>
      </xdr:blipFill>
      <xdr:spPr>
        <a:xfrm>
          <a:off x="8749665" y="7811135"/>
          <a:ext cx="706755" cy="640080"/>
        </a:xfrm>
        <a:prstGeom prst="rect">
          <a:avLst/>
        </a:prstGeom>
      </xdr:spPr>
    </xdr:pic>
  </etc:cellImage>
  <etc:cellImage>
    <xdr:pic>
      <xdr:nvPicPr>
        <xdr:cNvPr id="248" name="ID_8060F530313F41E5AA4A789CFFEEF058"/>
        <xdr:cNvPicPr>
          <a:picLocks noChangeAspect="1"/>
        </xdr:cNvPicPr>
      </xdr:nvPicPr>
      <xdr:blipFill>
        <a:blip r:embed="rId152"/>
        <a:stretch>
          <a:fillRect/>
        </a:stretch>
      </xdr:blipFill>
      <xdr:spPr>
        <a:xfrm>
          <a:off x="8799195" y="8526780"/>
          <a:ext cx="701040" cy="633730"/>
        </a:xfrm>
        <a:prstGeom prst="rect">
          <a:avLst/>
        </a:prstGeom>
      </xdr:spPr>
    </xdr:pic>
  </etc:cellImage>
  <etc:cellImage>
    <xdr:pic>
      <xdr:nvPicPr>
        <xdr:cNvPr id="249" name="ID_52F685946EEE4802A028A25D52A082B8"/>
        <xdr:cNvPicPr>
          <a:picLocks noChangeAspect="1"/>
        </xdr:cNvPicPr>
      </xdr:nvPicPr>
      <xdr:blipFill>
        <a:blip r:embed="rId153"/>
        <a:stretch>
          <a:fillRect/>
        </a:stretch>
      </xdr:blipFill>
      <xdr:spPr>
        <a:xfrm>
          <a:off x="8833485" y="9216390"/>
          <a:ext cx="493395" cy="579120"/>
        </a:xfrm>
        <a:prstGeom prst="rect">
          <a:avLst/>
        </a:prstGeom>
      </xdr:spPr>
    </xdr:pic>
  </etc:cellImage>
  <etc:cellImage>
    <xdr:pic>
      <xdr:nvPicPr>
        <xdr:cNvPr id="250" name="ID_1A0700E676384878BE7C918B6259338B"/>
        <xdr:cNvPicPr>
          <a:picLocks noChangeAspect="1"/>
        </xdr:cNvPicPr>
      </xdr:nvPicPr>
      <xdr:blipFill>
        <a:blip r:embed="rId154" cstate="print"/>
        <a:stretch>
          <a:fillRect/>
        </a:stretch>
      </xdr:blipFill>
      <xdr:spPr>
        <a:xfrm>
          <a:off x="8696325" y="9867900"/>
          <a:ext cx="769620" cy="575310"/>
        </a:xfrm>
        <a:prstGeom prst="rect">
          <a:avLst/>
        </a:prstGeom>
      </xdr:spPr>
    </xdr:pic>
  </etc:cellImage>
  <etc:cellImage>
    <xdr:pic>
      <xdr:nvPicPr>
        <xdr:cNvPr id="254" name="ID_0DCFDA17D11B454EBEBFB6DA15222138" descr="分体式教师台.241"/>
        <xdr:cNvPicPr>
          <a:picLocks noChangeAspect="1"/>
        </xdr:cNvPicPr>
      </xdr:nvPicPr>
      <xdr:blipFill>
        <a:blip r:embed="rId155"/>
        <a:srcRect l="17656" t="31329" r="17294" b="12788"/>
        <a:stretch>
          <a:fillRect/>
        </a:stretch>
      </xdr:blipFill>
      <xdr:spPr>
        <a:xfrm>
          <a:off x="9340215" y="584200"/>
          <a:ext cx="1154430" cy="457835"/>
        </a:xfrm>
        <a:prstGeom prst="rect">
          <a:avLst/>
        </a:prstGeom>
        <a:noFill/>
        <a:ln w="9525">
          <a:noFill/>
        </a:ln>
      </xdr:spPr>
    </xdr:pic>
  </etc:cellImage>
  <etc:cellImage>
    <xdr:pic>
      <xdr:nvPicPr>
        <xdr:cNvPr id="255" name="ID_655FF01F7D8445E2A1384FCBCC50F151" descr="1"/>
        <xdr:cNvPicPr>
          <a:picLocks noChangeAspect="1"/>
        </xdr:cNvPicPr>
      </xdr:nvPicPr>
      <xdr:blipFill>
        <a:blip r:embed="rId156"/>
        <a:stretch>
          <a:fillRect/>
        </a:stretch>
      </xdr:blipFill>
      <xdr:spPr>
        <a:xfrm>
          <a:off x="9515475" y="1301750"/>
          <a:ext cx="723900" cy="791210"/>
        </a:xfrm>
        <a:prstGeom prst="rect">
          <a:avLst/>
        </a:prstGeom>
      </xdr:spPr>
    </xdr:pic>
  </etc:cellImage>
  <etc:cellImage>
    <xdr:pic>
      <xdr:nvPicPr>
        <xdr:cNvPr id="256" name="ID_6B940169106C4286B494913F49108F7C" descr="学生凳.242"/>
        <xdr:cNvPicPr>
          <a:picLocks noChangeAspect="1"/>
        </xdr:cNvPicPr>
      </xdr:nvPicPr>
      <xdr:blipFill>
        <a:blip r:embed="rId157"/>
        <a:srcRect l="33815" t="28349" r="40483"/>
        <a:stretch>
          <a:fillRect/>
        </a:stretch>
      </xdr:blipFill>
      <xdr:spPr>
        <a:xfrm>
          <a:off x="9468485" y="2221865"/>
          <a:ext cx="642620" cy="649605"/>
        </a:xfrm>
        <a:prstGeom prst="rect">
          <a:avLst/>
        </a:prstGeom>
        <a:noFill/>
        <a:ln w="9525">
          <a:noFill/>
        </a:ln>
      </xdr:spPr>
    </xdr:pic>
  </etc:cellImage>
  <etc:cellImage>
    <xdr:pic>
      <xdr:nvPicPr>
        <xdr:cNvPr id="257" name="ID_7D262F60FE684805BE00F54E5E9D3237" descr="9b3ecf8c73a20aee0b004f450e513b1"/>
        <xdr:cNvPicPr>
          <a:picLocks noChangeAspect="1"/>
        </xdr:cNvPicPr>
      </xdr:nvPicPr>
      <xdr:blipFill>
        <a:blip r:embed="rId158"/>
        <a:srcRect l="36979" t="24049" r="38873" b="18235"/>
        <a:stretch>
          <a:fillRect/>
        </a:stretch>
      </xdr:blipFill>
      <xdr:spPr>
        <a:xfrm>
          <a:off x="9473565" y="2992755"/>
          <a:ext cx="723900" cy="803910"/>
        </a:xfrm>
        <a:prstGeom prst="rect">
          <a:avLst/>
        </a:prstGeom>
      </xdr:spPr>
    </xdr:pic>
  </etc:cellImage>
  <etc:cellImage>
    <xdr:pic>
      <xdr:nvPicPr>
        <xdr:cNvPr id="258" name="ID_CB0F396FADF346E89D147025DB3A0778" descr="32b225c84dba3fb86c437d4da5869d5"/>
        <xdr:cNvPicPr>
          <a:picLocks noChangeAspect="1"/>
        </xdr:cNvPicPr>
      </xdr:nvPicPr>
      <xdr:blipFill>
        <a:blip r:embed="rId159"/>
        <a:stretch>
          <a:fillRect/>
        </a:stretch>
      </xdr:blipFill>
      <xdr:spPr>
        <a:xfrm>
          <a:off x="9444990" y="4042410"/>
          <a:ext cx="723900" cy="342265"/>
        </a:xfrm>
        <a:prstGeom prst="rect">
          <a:avLst/>
        </a:prstGeom>
        <a:noFill/>
        <a:ln w="9525">
          <a:noFill/>
        </a:ln>
      </xdr:spPr>
    </xdr:pic>
  </etc:cellImage>
  <etc:cellImage>
    <xdr:pic>
      <xdr:nvPicPr>
        <xdr:cNvPr id="259" name="ID_72759FE134ED4BD89E30D09E4EDD1609"/>
        <xdr:cNvPicPr>
          <a:picLocks noChangeAspect="1"/>
        </xdr:cNvPicPr>
      </xdr:nvPicPr>
      <xdr:blipFill>
        <a:blip r:embed="rId160"/>
        <a:stretch>
          <a:fillRect/>
        </a:stretch>
      </xdr:blipFill>
      <xdr:spPr>
        <a:xfrm>
          <a:off x="9483090" y="4864100"/>
          <a:ext cx="723900" cy="414020"/>
        </a:xfrm>
        <a:prstGeom prst="rect">
          <a:avLst/>
        </a:prstGeom>
        <a:noFill/>
        <a:ln w="9525">
          <a:noFill/>
        </a:ln>
      </xdr:spPr>
    </xdr:pic>
  </etc:cellImage>
  <etc:cellImage>
    <xdr:pic>
      <xdr:nvPicPr>
        <xdr:cNvPr id="260" name="ID_0227FE8F446C4CEDBBCB30629CEAF5F7"/>
        <xdr:cNvPicPr>
          <a:picLocks noChangeAspect="1"/>
        </xdr:cNvPicPr>
      </xdr:nvPicPr>
      <xdr:blipFill>
        <a:blip r:embed="rId161"/>
        <a:stretch>
          <a:fillRect/>
        </a:stretch>
      </xdr:blipFill>
      <xdr:spPr>
        <a:xfrm>
          <a:off x="9473565" y="5509260"/>
          <a:ext cx="723900" cy="780415"/>
        </a:xfrm>
        <a:prstGeom prst="rect">
          <a:avLst/>
        </a:prstGeom>
        <a:noFill/>
        <a:ln w="9525">
          <a:noFill/>
        </a:ln>
      </xdr:spPr>
    </xdr:pic>
  </etc:cellImage>
  <etc:cellImage>
    <xdr:pic>
      <xdr:nvPicPr>
        <xdr:cNvPr id="261" name="ID_0298AC09381243B8B7E908EA823B5F19" descr="1625370522"/>
        <xdr:cNvPicPr>
          <a:picLocks noChangeAspect="1"/>
        </xdr:cNvPicPr>
      </xdr:nvPicPr>
      <xdr:blipFill>
        <a:blip r:embed="rId162"/>
        <a:stretch>
          <a:fillRect/>
        </a:stretch>
      </xdr:blipFill>
      <xdr:spPr>
        <a:xfrm>
          <a:off x="9317355" y="6343015"/>
          <a:ext cx="639445" cy="808355"/>
        </a:xfrm>
        <a:prstGeom prst="rect">
          <a:avLst/>
        </a:prstGeom>
        <a:noFill/>
        <a:ln w="9525">
          <a:noFill/>
        </a:ln>
      </xdr:spPr>
    </xdr:pic>
  </etc:cellImage>
  <etc:cellImage>
    <xdr:pic>
      <xdr:nvPicPr>
        <xdr:cNvPr id="262" name="ID_F4B67328AB314A1099F569EAB2502637"/>
        <xdr:cNvPicPr preferRelativeResize="0"/>
      </xdr:nvPicPr>
      <xdr:blipFill>
        <a:blip r:embed="rId163"/>
        <a:stretch>
          <a:fillRect/>
        </a:stretch>
      </xdr:blipFill>
      <xdr:spPr>
        <a:xfrm>
          <a:off x="9396095" y="8321040"/>
          <a:ext cx="791845" cy="558165"/>
        </a:xfrm>
        <a:prstGeom prst="rect">
          <a:avLst/>
        </a:prstGeom>
        <a:noFill/>
        <a:ln w="9525">
          <a:noFill/>
        </a:ln>
      </xdr:spPr>
    </xdr:pic>
  </etc:cellImage>
  <etc:cellImage>
    <xdr:pic>
      <xdr:nvPicPr>
        <xdr:cNvPr id="263" name="ID_77DB89CF75E9470D9AE62AF9D15DFA6D"/>
        <xdr:cNvPicPr preferRelativeResize="0">
          <a:picLocks noChangeArrowheads="1"/>
        </xdr:cNvPicPr>
      </xdr:nvPicPr>
      <xdr:blipFill>
        <a:blip r:embed="rId164" cstate="print">
          <a:extLst>
            <a:ext uri="{28A0092B-C50C-407E-A947-70E740481C1C}">
              <a14:useLocalDpi xmlns:a14="http://schemas.microsoft.com/office/drawing/2010/main" val="0"/>
            </a:ext>
          </a:extLst>
        </a:blip>
        <a:srcRect/>
        <a:stretch>
          <a:fillRect/>
        </a:stretch>
      </xdr:blipFill>
      <xdr:spPr>
        <a:xfrm>
          <a:off x="9396095" y="907224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64" name="ID_9F80F1C9697D4808B5FE4763274B8F66" descr="072fc45d1122285cd81b04702a69f8f"/>
        <xdr:cNvPicPr preferRelativeResize="0"/>
      </xdr:nvPicPr>
      <xdr:blipFill>
        <a:blip r:embed="rId165"/>
        <a:stretch>
          <a:fillRect/>
        </a:stretch>
      </xdr:blipFill>
      <xdr:spPr>
        <a:xfrm>
          <a:off x="9396095" y="9723120"/>
          <a:ext cx="791845" cy="558165"/>
        </a:xfrm>
        <a:prstGeom prst="rect">
          <a:avLst/>
        </a:prstGeom>
      </xdr:spPr>
    </xdr:pic>
  </etc:cellImage>
  <etc:cellImage>
    <xdr:pic>
      <xdr:nvPicPr>
        <xdr:cNvPr id="265" name="ID_79E0B8B4FFF04347B3D4FEE50C992801"/>
        <xdr:cNvPicPr preferRelativeResize="0">
          <a:picLocks noChangeArrowheads="1"/>
        </xdr:cNvPicPr>
      </xdr:nvPicPr>
      <xdr:blipFill>
        <a:blip r:embed="rId166" cstate="print">
          <a:extLst>
            <a:ext uri="{28A0092B-C50C-407E-A947-70E740481C1C}">
              <a14:useLocalDpi xmlns:a14="http://schemas.microsoft.com/office/drawing/2010/main" val="0"/>
            </a:ext>
          </a:extLst>
        </a:blip>
        <a:srcRect/>
        <a:stretch>
          <a:fillRect/>
        </a:stretch>
      </xdr:blipFill>
      <xdr:spPr>
        <a:xfrm>
          <a:off x="9396095" y="1043114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66" name="ID_6922677466F34AAAAC6DA6600394D89C"/>
        <xdr:cNvPicPr preferRelativeResize="0">
          <a:picLocks noChangeArrowheads="1"/>
        </xdr:cNvPicPr>
      </xdr:nvPicPr>
      <xdr:blipFill>
        <a:blip r:embed="rId167" cstate="print">
          <a:extLst>
            <a:ext uri="{28A0092B-C50C-407E-A947-70E740481C1C}">
              <a14:useLocalDpi xmlns:a14="http://schemas.microsoft.com/office/drawing/2010/main" val="0"/>
            </a:ext>
          </a:extLst>
        </a:blip>
        <a:srcRect/>
        <a:stretch>
          <a:fillRect/>
        </a:stretch>
      </xdr:blipFill>
      <xdr:spPr>
        <a:xfrm>
          <a:off x="9396095" y="1118616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67" name="ID_567ACBEC71544154B08890124A29EB79"/>
        <xdr:cNvPicPr preferRelativeResize="0">
          <a:picLocks noChangeArrowheads="1"/>
        </xdr:cNvPicPr>
      </xdr:nvPicPr>
      <xdr:blipFill>
        <a:blip r:embed="rId167" cstate="print">
          <a:extLst>
            <a:ext uri="{28A0092B-C50C-407E-A947-70E740481C1C}">
              <a14:useLocalDpi xmlns:a14="http://schemas.microsoft.com/office/drawing/2010/main" val="0"/>
            </a:ext>
          </a:extLst>
        </a:blip>
        <a:srcRect/>
        <a:stretch>
          <a:fillRect/>
        </a:stretch>
      </xdr:blipFill>
      <xdr:spPr>
        <a:xfrm>
          <a:off x="9396095" y="1183957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68" name="ID_DCC4DC0ED3F1448782615E9A222BBADB"/>
        <xdr:cNvPicPr preferRelativeResize="0">
          <a:picLocks noChangeArrowheads="1"/>
        </xdr:cNvPicPr>
      </xdr:nvPicPr>
      <xdr:blipFill>
        <a:blip r:embed="rId168">
          <a:extLst>
            <a:ext uri="{28A0092B-C50C-407E-A947-70E740481C1C}">
              <a14:useLocalDpi xmlns:a14="http://schemas.microsoft.com/office/drawing/2010/main" val="0"/>
            </a:ext>
          </a:extLst>
        </a:blip>
        <a:srcRect/>
        <a:stretch>
          <a:fillRect/>
        </a:stretch>
      </xdr:blipFill>
      <xdr:spPr>
        <a:xfrm>
          <a:off x="9396095" y="1253998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69" name="ID_C9229616B1DD4200BA7E77E042D75D6C"/>
        <xdr:cNvPicPr preferRelativeResize="0">
          <a:picLocks noChangeArrowheads="1"/>
        </xdr:cNvPicPr>
      </xdr:nvPicPr>
      <xdr:blipFill>
        <a:blip r:embed="rId168">
          <a:extLst>
            <a:ext uri="{28A0092B-C50C-407E-A947-70E740481C1C}">
              <a14:useLocalDpi xmlns:a14="http://schemas.microsoft.com/office/drawing/2010/main" val="0"/>
            </a:ext>
          </a:extLst>
        </a:blip>
        <a:srcRect/>
        <a:stretch>
          <a:fillRect/>
        </a:stretch>
      </xdr:blipFill>
      <xdr:spPr>
        <a:xfrm>
          <a:off x="9396095" y="1324038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0" name="ID_271286C603F540CF991302DC2FE0133A"/>
        <xdr:cNvPicPr preferRelativeResize="0">
          <a:picLocks noChangeArrowheads="1"/>
        </xdr:cNvPicPr>
      </xdr:nvPicPr>
      <xdr:blipFill>
        <a:blip r:embed="rId168">
          <a:extLst>
            <a:ext uri="{28A0092B-C50C-407E-A947-70E740481C1C}">
              <a14:useLocalDpi xmlns:a14="http://schemas.microsoft.com/office/drawing/2010/main" val="0"/>
            </a:ext>
          </a:extLst>
        </a:blip>
        <a:srcRect/>
        <a:stretch>
          <a:fillRect/>
        </a:stretch>
      </xdr:blipFill>
      <xdr:spPr>
        <a:xfrm>
          <a:off x="9396095" y="1394079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1" name="ID_BED7CE230C814A6F8F5ACC07C0644AA2"/>
        <xdr:cNvPicPr preferRelativeResize="0">
          <a:picLocks noChangeArrowheads="1"/>
        </xdr:cNvPicPr>
      </xdr:nvPicPr>
      <xdr:blipFill>
        <a:blip r:embed="rId169" cstate="print">
          <a:extLst>
            <a:ext uri="{28A0092B-C50C-407E-A947-70E740481C1C}">
              <a14:useLocalDpi xmlns:a14="http://schemas.microsoft.com/office/drawing/2010/main" val="0"/>
            </a:ext>
          </a:extLst>
        </a:blip>
        <a:srcRect/>
        <a:stretch>
          <a:fillRect/>
        </a:stretch>
      </xdr:blipFill>
      <xdr:spPr>
        <a:xfrm>
          <a:off x="9396095" y="1464119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2" name="ID_DF3104193450411F87D35A7C66BCF5D2"/>
        <xdr:cNvPicPr preferRelativeResize="0">
          <a:picLocks noChangeArrowheads="1"/>
        </xdr:cNvPicPr>
      </xdr:nvPicPr>
      <xdr:blipFill>
        <a:blip r:embed="rId170" cstate="print">
          <a:extLst>
            <a:ext uri="{28A0092B-C50C-407E-A947-70E740481C1C}">
              <a14:useLocalDpi xmlns:a14="http://schemas.microsoft.com/office/drawing/2010/main" val="0"/>
            </a:ext>
          </a:extLst>
        </a:blip>
        <a:srcRect/>
        <a:stretch>
          <a:fillRect/>
        </a:stretch>
      </xdr:blipFill>
      <xdr:spPr>
        <a:xfrm>
          <a:off x="9396095" y="1534160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3" name="ID_9B1E074EDAF1494D877BFC1616A242CA"/>
        <xdr:cNvPicPr preferRelativeResize="0">
          <a:picLocks noChangeArrowheads="1"/>
        </xdr:cNvPicPr>
      </xdr:nvPicPr>
      <xdr:blipFill>
        <a:blip r:embed="rId171">
          <a:extLst>
            <a:ext uri="{28A0092B-C50C-407E-A947-70E740481C1C}">
              <a14:useLocalDpi xmlns:a14="http://schemas.microsoft.com/office/drawing/2010/main" val="0"/>
            </a:ext>
          </a:extLst>
        </a:blip>
        <a:srcRect/>
        <a:stretch>
          <a:fillRect/>
        </a:stretch>
      </xdr:blipFill>
      <xdr:spPr>
        <a:xfrm>
          <a:off x="9396095" y="1604200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4" name="ID_D06FD57019B049B59CB0140C88550B90" descr="IMG_291"/>
        <xdr:cNvPicPr preferRelativeResize="0">
          <a:picLocks noChangeArrowheads="1"/>
        </xdr:cNvPicPr>
      </xdr:nvPicPr>
      <xdr:blipFill>
        <a:blip r:embed="rId172">
          <a:extLst>
            <a:ext uri="{28A0092B-C50C-407E-A947-70E740481C1C}">
              <a14:useLocalDpi xmlns:a14="http://schemas.microsoft.com/office/drawing/2010/main" val="0"/>
            </a:ext>
          </a:extLst>
        </a:blip>
        <a:srcRect/>
        <a:stretch>
          <a:fillRect/>
        </a:stretch>
      </xdr:blipFill>
      <xdr:spPr>
        <a:xfrm>
          <a:off x="9396095" y="1674241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5" name="ID_20117EFC349344CBBAD4C1FA1864AC86"/>
        <xdr:cNvPicPr preferRelativeResize="0"/>
      </xdr:nvPicPr>
      <xdr:blipFill>
        <a:blip r:embed="rId173"/>
        <a:stretch>
          <a:fillRect/>
        </a:stretch>
      </xdr:blipFill>
      <xdr:spPr>
        <a:xfrm>
          <a:off x="9396095" y="17411065"/>
          <a:ext cx="791845" cy="558165"/>
        </a:xfrm>
        <a:prstGeom prst="rect">
          <a:avLst/>
        </a:prstGeom>
        <a:noFill/>
        <a:ln w="9525">
          <a:noFill/>
        </a:ln>
      </xdr:spPr>
    </xdr:pic>
  </etc:cellImage>
  <etc:cellImage>
    <xdr:pic>
      <xdr:nvPicPr>
        <xdr:cNvPr id="276" name="ID_2E3038AAC8D44B1D82F7DBE2B3F3B0F0"/>
        <xdr:cNvPicPr preferRelativeResize="0">
          <a:picLocks noChangeArrowheads="1"/>
        </xdr:cNvPicPr>
      </xdr:nvPicPr>
      <xdr:blipFill>
        <a:blip r:embed="rId174" cstate="print">
          <a:extLst>
            <a:ext uri="{28A0092B-C50C-407E-A947-70E740481C1C}">
              <a14:useLocalDpi xmlns:a14="http://schemas.microsoft.com/office/drawing/2010/main" val="0"/>
            </a:ext>
          </a:extLst>
        </a:blip>
        <a:srcRect/>
        <a:stretch>
          <a:fillRect/>
        </a:stretch>
      </xdr:blipFill>
      <xdr:spPr>
        <a:xfrm>
          <a:off x="9396095" y="1811147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7" name="ID_E84C276549F44AD49A4068FC2205CB19"/>
        <xdr:cNvPicPr preferRelativeResize="0">
          <a:picLocks noChangeArrowheads="1"/>
        </xdr:cNvPicPr>
      </xdr:nvPicPr>
      <xdr:blipFill>
        <a:blip r:embed="rId175" cstate="print">
          <a:extLst>
            <a:ext uri="{28A0092B-C50C-407E-A947-70E740481C1C}">
              <a14:useLocalDpi xmlns:a14="http://schemas.microsoft.com/office/drawing/2010/main" val="0"/>
            </a:ext>
          </a:extLst>
        </a:blip>
        <a:srcRect/>
        <a:stretch>
          <a:fillRect/>
        </a:stretch>
      </xdr:blipFill>
      <xdr:spPr>
        <a:xfrm>
          <a:off x="9396095" y="1884362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8" name="ID_09F6152FE9E84AF19403F2B589AAE296"/>
        <xdr:cNvPicPr preferRelativeResize="0">
          <a:picLocks noChangeArrowheads="1"/>
        </xdr:cNvPicPr>
      </xdr:nvPicPr>
      <xdr:blipFill>
        <a:blip r:embed="rId176" cstate="print">
          <a:extLst>
            <a:ext uri="{28A0092B-C50C-407E-A947-70E740481C1C}">
              <a14:useLocalDpi xmlns:a14="http://schemas.microsoft.com/office/drawing/2010/main" val="0"/>
            </a:ext>
          </a:extLst>
        </a:blip>
        <a:srcRect/>
        <a:stretch>
          <a:fillRect/>
        </a:stretch>
      </xdr:blipFill>
      <xdr:spPr>
        <a:xfrm>
          <a:off x="9396095" y="1954403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79" name="ID_6E98E381A11148EDA59BBFF4D727885D"/>
        <xdr:cNvPicPr preferRelativeResize="0">
          <a:picLocks noChangeArrowheads="1"/>
        </xdr:cNvPicPr>
      </xdr:nvPicPr>
      <xdr:blipFill>
        <a:blip r:embed="rId177" cstate="print">
          <a:extLst>
            <a:ext uri="{28A0092B-C50C-407E-A947-70E740481C1C}">
              <a14:useLocalDpi xmlns:a14="http://schemas.microsoft.com/office/drawing/2010/main" val="0"/>
            </a:ext>
          </a:extLst>
        </a:blip>
        <a:srcRect/>
        <a:stretch>
          <a:fillRect/>
        </a:stretch>
      </xdr:blipFill>
      <xdr:spPr>
        <a:xfrm>
          <a:off x="9396095" y="2024443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80" name="ID_616F191F095F4B91BA3D9CD0EEC9FBA3"/>
        <xdr:cNvPicPr preferRelativeResize="0">
          <a:picLocks noChangeArrowheads="1"/>
        </xdr:cNvPicPr>
      </xdr:nvPicPr>
      <xdr:blipFill>
        <a:blip r:embed="rId177" cstate="print">
          <a:extLst>
            <a:ext uri="{28A0092B-C50C-407E-A947-70E740481C1C}">
              <a14:useLocalDpi xmlns:a14="http://schemas.microsoft.com/office/drawing/2010/main" val="0"/>
            </a:ext>
          </a:extLst>
        </a:blip>
        <a:srcRect/>
        <a:stretch>
          <a:fillRect/>
        </a:stretch>
      </xdr:blipFill>
      <xdr:spPr>
        <a:xfrm>
          <a:off x="9396095" y="2098294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81" name="ID_4FABD2873C7445C79523C8027BAD9B81" descr="微小距离传感器"/>
        <xdr:cNvPicPr preferRelativeResize="0"/>
      </xdr:nvPicPr>
      <xdr:blipFill>
        <a:blip r:embed="rId178"/>
        <a:stretch>
          <a:fillRect/>
        </a:stretch>
      </xdr:blipFill>
      <xdr:spPr>
        <a:xfrm>
          <a:off x="9396095" y="21624925"/>
          <a:ext cx="791845" cy="558165"/>
        </a:xfrm>
        <a:prstGeom prst="rect">
          <a:avLst/>
        </a:prstGeom>
      </xdr:spPr>
    </xdr:pic>
  </etc:cellImage>
  <etc:cellImage>
    <xdr:pic>
      <xdr:nvPicPr>
        <xdr:cNvPr id="282" name="ID_41348A955DEB4109B020C343C36AAC6B"/>
        <xdr:cNvPicPr preferRelativeResize="0"/>
      </xdr:nvPicPr>
      <xdr:blipFill>
        <a:blip r:embed="rId179"/>
        <a:stretch>
          <a:fillRect/>
        </a:stretch>
      </xdr:blipFill>
      <xdr:spPr>
        <a:xfrm>
          <a:off x="9396095" y="22326600"/>
          <a:ext cx="791845" cy="558165"/>
        </a:xfrm>
        <a:prstGeom prst="rect">
          <a:avLst/>
        </a:prstGeom>
        <a:noFill/>
        <a:ln w="9525">
          <a:noFill/>
        </a:ln>
      </xdr:spPr>
    </xdr:pic>
  </etc:cellImage>
  <etc:cellImage>
    <xdr:pic>
      <xdr:nvPicPr>
        <xdr:cNvPr id="283" name="ID_86E28375A7FB419A8F21B5D9763ABC73"/>
        <xdr:cNvPicPr preferRelativeResize="0">
          <a:picLocks noChangeArrowheads="1"/>
        </xdr:cNvPicPr>
      </xdr:nvPicPr>
      <xdr:blipFill>
        <a:blip r:embed="rId180" cstate="print">
          <a:extLst>
            <a:ext uri="{28A0092B-C50C-407E-A947-70E740481C1C}">
              <a14:useLocalDpi xmlns:a14="http://schemas.microsoft.com/office/drawing/2010/main" val="0"/>
            </a:ext>
          </a:extLst>
        </a:blip>
        <a:srcRect/>
        <a:stretch>
          <a:fillRect/>
        </a:stretch>
      </xdr:blipFill>
      <xdr:spPr>
        <a:xfrm>
          <a:off x="9396095" y="2304605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84" name="ID_3F1FD9EFE7AE4866B8E7BEA00BAE57EC"/>
        <xdr:cNvPicPr preferRelativeResize="0">
          <a:picLocks noChangeArrowheads="1"/>
        </xdr:cNvPicPr>
      </xdr:nvPicPr>
      <xdr:blipFill>
        <a:blip r:embed="rId181" cstate="print">
          <a:extLst>
            <a:ext uri="{28A0092B-C50C-407E-A947-70E740481C1C}">
              <a14:useLocalDpi xmlns:a14="http://schemas.microsoft.com/office/drawing/2010/main" val="0"/>
            </a:ext>
          </a:extLst>
        </a:blip>
        <a:srcRect/>
        <a:stretch>
          <a:fillRect/>
        </a:stretch>
      </xdr:blipFill>
      <xdr:spPr>
        <a:xfrm>
          <a:off x="9426575" y="2379345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85" name="ID_603277E11DF14982BEEC91065513415F"/>
        <xdr:cNvPicPr preferRelativeResize="0">
          <a:picLocks noChangeArrowheads="1"/>
        </xdr:cNvPicPr>
      </xdr:nvPicPr>
      <xdr:blipFill>
        <a:blip r:embed="rId182" cstate="print">
          <a:extLst>
            <a:ext uri="{28A0092B-C50C-407E-A947-70E740481C1C}">
              <a14:useLocalDpi xmlns:a14="http://schemas.microsoft.com/office/drawing/2010/main" val="0"/>
            </a:ext>
          </a:extLst>
        </a:blip>
        <a:srcRect/>
        <a:stretch>
          <a:fillRect/>
        </a:stretch>
      </xdr:blipFill>
      <xdr:spPr>
        <a:xfrm>
          <a:off x="9441815" y="2446718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86" name="ID_AD07918A4CBC4BA6A21328B051AE54B6"/>
        <xdr:cNvPicPr preferRelativeResize="0">
          <a:picLocks noChangeArrowheads="1"/>
        </xdr:cNvPicPr>
      </xdr:nvPicPr>
      <xdr:blipFill>
        <a:blip r:embed="rId183" cstate="print">
          <a:extLst>
            <a:ext uri="{28A0092B-C50C-407E-A947-70E740481C1C}">
              <a14:useLocalDpi xmlns:a14="http://schemas.microsoft.com/office/drawing/2010/main" val="0"/>
            </a:ext>
          </a:extLst>
        </a:blip>
        <a:srcRect/>
        <a:stretch>
          <a:fillRect/>
        </a:stretch>
      </xdr:blipFill>
      <xdr:spPr>
        <a:xfrm>
          <a:off x="9418955" y="2516251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87" name="ID_A94B0FCEABCD40C4AF490FC477EBA6D1"/>
        <xdr:cNvPicPr>
          <a:picLocks noChangeAspect="1"/>
        </xdr:cNvPicPr>
      </xdr:nvPicPr>
      <xdr:blipFill>
        <a:blip r:embed="rId184"/>
        <a:stretch>
          <a:fillRect/>
        </a:stretch>
      </xdr:blipFill>
      <xdr:spPr>
        <a:xfrm>
          <a:off x="9368790" y="25928955"/>
          <a:ext cx="869950" cy="494030"/>
        </a:xfrm>
        <a:prstGeom prst="rect">
          <a:avLst/>
        </a:prstGeom>
      </xdr:spPr>
    </xdr:pic>
  </etc:cellImage>
  <etc:cellImage>
    <xdr:pic>
      <xdr:nvPicPr>
        <xdr:cNvPr id="288" name="ID_F127A3996E1C4C5AA60A4D8C391F0DB3"/>
        <xdr:cNvPicPr preferRelativeResize="0"/>
      </xdr:nvPicPr>
      <xdr:blipFill>
        <a:blip r:embed="rId185"/>
        <a:stretch>
          <a:fillRect/>
        </a:stretch>
      </xdr:blipFill>
      <xdr:spPr>
        <a:xfrm>
          <a:off x="9418955" y="26577290"/>
          <a:ext cx="791845" cy="558165"/>
        </a:xfrm>
        <a:prstGeom prst="rect">
          <a:avLst/>
        </a:prstGeom>
        <a:noFill/>
        <a:ln w="9525">
          <a:noFill/>
        </a:ln>
      </xdr:spPr>
    </xdr:pic>
  </etc:cellImage>
  <etc:cellImage>
    <xdr:pic>
      <xdr:nvPicPr>
        <xdr:cNvPr id="289" name="ID_54B6E456E2024612B4A67D4F9E78D4C6"/>
        <xdr:cNvPicPr preferRelativeResize="0">
          <a:picLocks noChangeArrowheads="1"/>
        </xdr:cNvPicPr>
      </xdr:nvPicPr>
      <xdr:blipFill>
        <a:blip r:embed="rId186" cstate="print">
          <a:extLst>
            <a:ext uri="{28A0092B-C50C-407E-A947-70E740481C1C}">
              <a14:useLocalDpi xmlns:a14="http://schemas.microsoft.com/office/drawing/2010/main" val="0"/>
            </a:ext>
          </a:extLst>
        </a:blip>
        <a:srcRect/>
        <a:stretch>
          <a:fillRect/>
        </a:stretch>
      </xdr:blipFill>
      <xdr:spPr>
        <a:xfrm>
          <a:off x="9367520" y="2723896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0" name="ID_BDF0250E53C24532912CDF1C622C99E4"/>
        <xdr:cNvPicPr preferRelativeResize="0">
          <a:picLocks noChangeArrowheads="1"/>
        </xdr:cNvPicPr>
      </xdr:nvPicPr>
      <xdr:blipFill>
        <a:blip r:embed="rId187" cstate="print">
          <a:extLst>
            <a:ext uri="{28A0092B-C50C-407E-A947-70E740481C1C}">
              <a14:useLocalDpi xmlns:a14="http://schemas.microsoft.com/office/drawing/2010/main" val="0"/>
            </a:ext>
          </a:extLst>
        </a:blip>
        <a:srcRect/>
        <a:stretch>
          <a:fillRect/>
        </a:stretch>
      </xdr:blipFill>
      <xdr:spPr>
        <a:xfrm>
          <a:off x="9396095" y="2798064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1" name="ID_18095E13BA164E7AB1B372E87D045610"/>
        <xdr:cNvPicPr preferRelativeResize="0"/>
      </xdr:nvPicPr>
      <xdr:blipFill>
        <a:blip r:embed="rId188"/>
        <a:stretch>
          <a:fillRect/>
        </a:stretch>
      </xdr:blipFill>
      <xdr:spPr>
        <a:xfrm>
          <a:off x="9396095" y="28617545"/>
          <a:ext cx="791845" cy="558165"/>
        </a:xfrm>
        <a:prstGeom prst="rect">
          <a:avLst/>
        </a:prstGeom>
        <a:noFill/>
        <a:ln w="9525">
          <a:noFill/>
        </a:ln>
      </xdr:spPr>
    </xdr:pic>
  </etc:cellImage>
  <etc:cellImage>
    <xdr:pic>
      <xdr:nvPicPr>
        <xdr:cNvPr id="292" name="ID_E5DED256979F45169093B75E8D19209D"/>
        <xdr:cNvPicPr preferRelativeResize="0">
          <a:picLocks noChangeArrowheads="1"/>
        </xdr:cNvPicPr>
      </xdr:nvPicPr>
      <xdr:blipFill>
        <a:blip r:embed="rId189" cstate="print">
          <a:extLst>
            <a:ext uri="{28A0092B-C50C-407E-A947-70E740481C1C}">
              <a14:useLocalDpi xmlns:a14="http://schemas.microsoft.com/office/drawing/2010/main" val="0"/>
            </a:ext>
          </a:extLst>
        </a:blip>
        <a:srcRect/>
        <a:stretch>
          <a:fillRect/>
        </a:stretch>
      </xdr:blipFill>
      <xdr:spPr>
        <a:xfrm>
          <a:off x="9396095" y="2941637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3" name="ID_F374361FD4A34D85823072E2675D4F6C"/>
        <xdr:cNvPicPr preferRelativeResize="0">
          <a:picLocks noChangeArrowheads="1"/>
        </xdr:cNvPicPr>
      </xdr:nvPicPr>
      <xdr:blipFill>
        <a:blip r:embed="rId190" cstate="print">
          <a:extLst>
            <a:ext uri="{28A0092B-C50C-407E-A947-70E740481C1C}">
              <a14:useLocalDpi xmlns:a14="http://schemas.microsoft.com/office/drawing/2010/main" val="0"/>
            </a:ext>
          </a:extLst>
        </a:blip>
        <a:srcRect/>
        <a:stretch>
          <a:fillRect/>
        </a:stretch>
      </xdr:blipFill>
      <xdr:spPr>
        <a:xfrm>
          <a:off x="9396095" y="3006915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4" name="ID_5A8BDA4738D14394B6EAF80A1F515DDA"/>
        <xdr:cNvPicPr preferRelativeResize="0">
          <a:picLocks noChangeArrowheads="1"/>
        </xdr:cNvPicPr>
      </xdr:nvPicPr>
      <xdr:blipFill>
        <a:blip r:embed="rId191" cstate="print">
          <a:extLst>
            <a:ext uri="{28A0092B-C50C-407E-A947-70E740481C1C}">
              <a14:useLocalDpi xmlns:a14="http://schemas.microsoft.com/office/drawing/2010/main" val="0"/>
            </a:ext>
          </a:extLst>
        </a:blip>
        <a:srcRect/>
        <a:stretch>
          <a:fillRect/>
        </a:stretch>
      </xdr:blipFill>
      <xdr:spPr>
        <a:xfrm>
          <a:off x="9396095" y="3078861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5" name="ID_A436FED209DC4A32B6168950CA2F8588"/>
        <xdr:cNvPicPr preferRelativeResize="0">
          <a:picLocks noChangeArrowheads="1"/>
        </xdr:cNvPicPr>
      </xdr:nvPicPr>
      <xdr:blipFill>
        <a:blip r:embed="rId192" cstate="print">
          <a:extLst>
            <a:ext uri="{28A0092B-C50C-407E-A947-70E740481C1C}">
              <a14:useLocalDpi xmlns:a14="http://schemas.microsoft.com/office/drawing/2010/main" val="0"/>
            </a:ext>
          </a:extLst>
        </a:blip>
        <a:srcRect/>
        <a:stretch>
          <a:fillRect/>
        </a:stretch>
      </xdr:blipFill>
      <xdr:spPr>
        <a:xfrm>
          <a:off x="9396095" y="3147949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6" name="ID_7441BCD388264E5DAA49B88BD29232F4"/>
        <xdr:cNvPicPr preferRelativeResize="0">
          <a:picLocks noChangeArrowheads="1"/>
        </xdr:cNvPicPr>
      </xdr:nvPicPr>
      <xdr:blipFill>
        <a:blip r:embed="rId193" cstate="print">
          <a:extLst>
            <a:ext uri="{28A0092B-C50C-407E-A947-70E740481C1C}">
              <a14:useLocalDpi xmlns:a14="http://schemas.microsoft.com/office/drawing/2010/main" val="0"/>
            </a:ext>
          </a:extLst>
        </a:blip>
        <a:srcRect/>
        <a:stretch>
          <a:fillRect/>
        </a:stretch>
      </xdr:blipFill>
      <xdr:spPr>
        <a:xfrm>
          <a:off x="9396095" y="3219894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7" name="ID_175B5CC34AB042E7955C2741E787C798"/>
        <xdr:cNvPicPr preferRelativeResize="0">
          <a:picLocks noChangeArrowheads="1"/>
        </xdr:cNvPicPr>
      </xdr:nvPicPr>
      <xdr:blipFill>
        <a:blip r:embed="rId194" cstate="print">
          <a:extLst>
            <a:ext uri="{28A0092B-C50C-407E-A947-70E740481C1C}">
              <a14:useLocalDpi xmlns:a14="http://schemas.microsoft.com/office/drawing/2010/main" val="0"/>
            </a:ext>
          </a:extLst>
        </a:blip>
        <a:srcRect/>
        <a:stretch>
          <a:fillRect/>
        </a:stretch>
      </xdr:blipFill>
      <xdr:spPr>
        <a:xfrm>
          <a:off x="9396095" y="3285172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8" name="ID_5D71F5C6F22B4DA7B6121C74CD141F5E"/>
        <xdr:cNvPicPr preferRelativeResize="0">
          <a:picLocks noChangeArrowheads="1"/>
        </xdr:cNvPicPr>
      </xdr:nvPicPr>
      <xdr:blipFill>
        <a:blip r:embed="rId195" cstate="print">
          <a:extLst>
            <a:ext uri="{28A0092B-C50C-407E-A947-70E740481C1C}">
              <a14:useLocalDpi xmlns:a14="http://schemas.microsoft.com/office/drawing/2010/main" val="0"/>
            </a:ext>
          </a:extLst>
        </a:blip>
        <a:srcRect/>
        <a:stretch>
          <a:fillRect/>
        </a:stretch>
      </xdr:blipFill>
      <xdr:spPr>
        <a:xfrm>
          <a:off x="9396095" y="3361563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299" name="ID_7217E6319814449A9E07E125B085F86C"/>
        <xdr:cNvPicPr preferRelativeResize="0">
          <a:picLocks noChangeArrowheads="1"/>
        </xdr:cNvPicPr>
      </xdr:nvPicPr>
      <xdr:blipFill>
        <a:blip r:embed="rId196" cstate="print">
          <a:extLst>
            <a:ext uri="{28A0092B-C50C-407E-A947-70E740481C1C}">
              <a14:useLocalDpi xmlns:a14="http://schemas.microsoft.com/office/drawing/2010/main" val="0"/>
            </a:ext>
          </a:extLst>
        </a:blip>
        <a:srcRect/>
        <a:stretch>
          <a:fillRect/>
        </a:stretch>
      </xdr:blipFill>
      <xdr:spPr>
        <a:xfrm>
          <a:off x="9396095" y="3425253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0" name="ID_97B6390389EE4C1CA5A55E2913D9511F"/>
        <xdr:cNvPicPr preferRelativeResize="0"/>
      </xdr:nvPicPr>
      <xdr:blipFill>
        <a:blip r:embed="rId197"/>
        <a:stretch>
          <a:fillRect/>
        </a:stretch>
      </xdr:blipFill>
      <xdr:spPr>
        <a:xfrm>
          <a:off x="9396095" y="34994850"/>
          <a:ext cx="791845" cy="558165"/>
        </a:xfrm>
        <a:prstGeom prst="rect">
          <a:avLst/>
        </a:prstGeom>
        <a:noFill/>
        <a:ln w="9525">
          <a:noFill/>
        </a:ln>
      </xdr:spPr>
    </xdr:pic>
  </etc:cellImage>
  <etc:cellImage>
    <xdr:pic>
      <xdr:nvPicPr>
        <xdr:cNvPr id="301" name="ID_C92463AE791040CE98C0B8355FA139AD"/>
        <xdr:cNvPicPr preferRelativeResize="0">
          <a:picLocks noChangeArrowheads="1"/>
        </xdr:cNvPicPr>
      </xdr:nvPicPr>
      <xdr:blipFill>
        <a:blip r:embed="rId198" cstate="print">
          <a:extLst>
            <a:ext uri="{28A0092B-C50C-407E-A947-70E740481C1C}">
              <a14:useLocalDpi xmlns:a14="http://schemas.microsoft.com/office/drawing/2010/main" val="0"/>
            </a:ext>
          </a:extLst>
        </a:blip>
        <a:srcRect/>
        <a:stretch>
          <a:fillRect/>
        </a:stretch>
      </xdr:blipFill>
      <xdr:spPr>
        <a:xfrm>
          <a:off x="9396095" y="3569779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2" name="ID_4936FD52CDB9470BBD568A04F2900DBC"/>
        <xdr:cNvPicPr preferRelativeResize="0">
          <a:picLocks noChangeArrowheads="1"/>
        </xdr:cNvPicPr>
      </xdr:nvPicPr>
      <xdr:blipFill>
        <a:blip r:embed="rId199" cstate="print">
          <a:extLst>
            <a:ext uri="{28A0092B-C50C-407E-A947-70E740481C1C}">
              <a14:useLocalDpi xmlns:a14="http://schemas.microsoft.com/office/drawing/2010/main" val="0"/>
            </a:ext>
          </a:extLst>
        </a:blip>
        <a:srcRect/>
        <a:stretch>
          <a:fillRect/>
        </a:stretch>
      </xdr:blipFill>
      <xdr:spPr>
        <a:xfrm>
          <a:off x="9396095" y="3635375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3" name="ID_9A0463F7406B4A33A447C48D20FCA0EA"/>
        <xdr:cNvPicPr preferRelativeResize="0">
          <a:picLocks noChangeArrowheads="1"/>
        </xdr:cNvPicPr>
      </xdr:nvPicPr>
      <xdr:blipFill>
        <a:blip r:embed="rId200" cstate="print">
          <a:extLst>
            <a:ext uri="{28A0092B-C50C-407E-A947-70E740481C1C}">
              <a14:useLocalDpi xmlns:a14="http://schemas.microsoft.com/office/drawing/2010/main" val="0"/>
            </a:ext>
          </a:extLst>
        </a:blip>
        <a:srcRect/>
        <a:stretch>
          <a:fillRect/>
        </a:stretch>
      </xdr:blipFill>
      <xdr:spPr>
        <a:xfrm>
          <a:off x="9396095" y="3705415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4" name="ID_FA47F2B0DB0D4DBCBFFAC575F8180623"/>
        <xdr:cNvPicPr preferRelativeResize="0">
          <a:picLocks noChangeArrowheads="1"/>
        </xdr:cNvPicPr>
      </xdr:nvPicPr>
      <xdr:blipFill>
        <a:blip r:embed="rId201" cstate="print">
          <a:extLst>
            <a:ext uri="{28A0092B-C50C-407E-A947-70E740481C1C}">
              <a14:useLocalDpi xmlns:a14="http://schemas.microsoft.com/office/drawing/2010/main" val="0"/>
            </a:ext>
          </a:extLst>
        </a:blip>
        <a:srcRect/>
        <a:stretch>
          <a:fillRect/>
        </a:stretch>
      </xdr:blipFill>
      <xdr:spPr>
        <a:xfrm>
          <a:off x="9396095" y="3775456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5" name="ID_373F8021543144B8BCB2B09AAB087A1A"/>
        <xdr:cNvPicPr preferRelativeResize="0">
          <a:picLocks noChangeArrowheads="1"/>
        </xdr:cNvPicPr>
      </xdr:nvPicPr>
      <xdr:blipFill>
        <a:blip r:embed="rId202" cstate="print">
          <a:extLst>
            <a:ext uri="{28A0092B-C50C-407E-A947-70E740481C1C}">
              <a14:useLocalDpi xmlns:a14="http://schemas.microsoft.com/office/drawing/2010/main" val="0"/>
            </a:ext>
          </a:extLst>
        </a:blip>
        <a:srcRect/>
        <a:stretch>
          <a:fillRect/>
        </a:stretch>
      </xdr:blipFill>
      <xdr:spPr>
        <a:xfrm>
          <a:off x="9396095" y="3845496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6" name="ID_6F03276B9F814FE2970A17C367F112B8"/>
        <xdr:cNvPicPr preferRelativeResize="0">
          <a:picLocks noChangeArrowheads="1"/>
        </xdr:cNvPicPr>
      </xdr:nvPicPr>
      <xdr:blipFill>
        <a:blip r:embed="rId203" cstate="print">
          <a:extLst>
            <a:ext uri="{28A0092B-C50C-407E-A947-70E740481C1C}">
              <a14:useLocalDpi xmlns:a14="http://schemas.microsoft.com/office/drawing/2010/main" val="0"/>
            </a:ext>
          </a:extLst>
        </a:blip>
        <a:srcRect/>
        <a:stretch>
          <a:fillRect/>
        </a:stretch>
      </xdr:blipFill>
      <xdr:spPr>
        <a:xfrm>
          <a:off x="9396095" y="3915537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7" name="ID_70254E1BD60B434587F3E7CBAA85CF83"/>
        <xdr:cNvPicPr preferRelativeResize="0">
          <a:picLocks noChangeArrowheads="1"/>
        </xdr:cNvPicPr>
      </xdr:nvPicPr>
      <xdr:blipFill>
        <a:blip r:embed="rId204" cstate="print">
          <a:extLst>
            <a:ext uri="{28A0092B-C50C-407E-A947-70E740481C1C}">
              <a14:useLocalDpi xmlns:a14="http://schemas.microsoft.com/office/drawing/2010/main" val="0"/>
            </a:ext>
          </a:extLst>
        </a:blip>
        <a:srcRect/>
        <a:stretch>
          <a:fillRect/>
        </a:stretch>
      </xdr:blipFill>
      <xdr:spPr>
        <a:xfrm>
          <a:off x="9396095" y="3985577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8" name="ID_FD2C987CC2BA4564945A0CEBFF052B96"/>
        <xdr:cNvPicPr preferRelativeResize="0">
          <a:picLocks noChangeArrowheads="1"/>
        </xdr:cNvPicPr>
      </xdr:nvPicPr>
      <xdr:blipFill>
        <a:blip r:embed="rId205" cstate="print">
          <a:extLst>
            <a:ext uri="{28A0092B-C50C-407E-A947-70E740481C1C}">
              <a14:useLocalDpi xmlns:a14="http://schemas.microsoft.com/office/drawing/2010/main" val="0"/>
            </a:ext>
          </a:extLst>
        </a:blip>
        <a:srcRect/>
        <a:stretch>
          <a:fillRect/>
        </a:stretch>
      </xdr:blipFill>
      <xdr:spPr>
        <a:xfrm>
          <a:off x="9396095" y="4055618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09" name="ID_2430B373012F4CD0A6E921CC1E1935C4"/>
        <xdr:cNvPicPr preferRelativeResize="0">
          <a:picLocks noChangeArrowheads="1"/>
        </xdr:cNvPicPr>
      </xdr:nvPicPr>
      <xdr:blipFill>
        <a:blip r:embed="rId206" cstate="print">
          <a:extLst>
            <a:ext uri="{28A0092B-C50C-407E-A947-70E740481C1C}">
              <a14:useLocalDpi xmlns:a14="http://schemas.microsoft.com/office/drawing/2010/main" val="0"/>
            </a:ext>
          </a:extLst>
        </a:blip>
        <a:srcRect/>
        <a:stretch>
          <a:fillRect/>
        </a:stretch>
      </xdr:blipFill>
      <xdr:spPr>
        <a:xfrm>
          <a:off x="9396095" y="4125658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0" name="ID_82328030AD6A4AB7AF896D404515EEBE"/>
        <xdr:cNvPicPr preferRelativeResize="0">
          <a:picLocks noChangeArrowheads="1"/>
        </xdr:cNvPicPr>
      </xdr:nvPicPr>
      <xdr:blipFill>
        <a:blip r:embed="rId207" cstate="print">
          <a:extLst>
            <a:ext uri="{28A0092B-C50C-407E-A947-70E740481C1C}">
              <a14:useLocalDpi xmlns:a14="http://schemas.microsoft.com/office/drawing/2010/main" val="0"/>
            </a:ext>
          </a:extLst>
        </a:blip>
        <a:srcRect/>
        <a:stretch>
          <a:fillRect/>
        </a:stretch>
      </xdr:blipFill>
      <xdr:spPr>
        <a:xfrm>
          <a:off x="9396095" y="4195699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1" name="ID_A270E3CF33734384B4299CBC3375FAF7"/>
        <xdr:cNvPicPr preferRelativeResize="0"/>
      </xdr:nvPicPr>
      <xdr:blipFill>
        <a:blip r:embed="rId163"/>
        <a:stretch>
          <a:fillRect/>
        </a:stretch>
      </xdr:blipFill>
      <xdr:spPr>
        <a:xfrm>
          <a:off x="9396095" y="42930445"/>
          <a:ext cx="791845" cy="558165"/>
        </a:xfrm>
        <a:prstGeom prst="rect">
          <a:avLst/>
        </a:prstGeom>
        <a:noFill/>
        <a:ln w="9525">
          <a:noFill/>
        </a:ln>
      </xdr:spPr>
    </xdr:pic>
  </etc:cellImage>
  <etc:cellImage>
    <xdr:pic>
      <xdr:nvPicPr>
        <xdr:cNvPr id="312" name="ID_3161DB757AE744009678B0F19B3E1CE7" descr="072fc45d1122285cd81b04702a69f8f"/>
        <xdr:cNvPicPr preferRelativeResize="0"/>
      </xdr:nvPicPr>
      <xdr:blipFill>
        <a:blip r:embed="rId165"/>
        <a:stretch>
          <a:fillRect/>
        </a:stretch>
      </xdr:blipFill>
      <xdr:spPr>
        <a:xfrm>
          <a:off x="9396095" y="43633390"/>
          <a:ext cx="791845" cy="558165"/>
        </a:xfrm>
        <a:prstGeom prst="rect">
          <a:avLst/>
        </a:prstGeom>
      </xdr:spPr>
    </xdr:pic>
  </etc:cellImage>
  <etc:cellImage>
    <xdr:pic>
      <xdr:nvPicPr>
        <xdr:cNvPr id="313" name="ID_A7326BE084974D02A60684C02B180F30"/>
        <xdr:cNvPicPr preferRelativeResize="0">
          <a:picLocks noChangeArrowheads="1"/>
        </xdr:cNvPicPr>
      </xdr:nvPicPr>
      <xdr:blipFill>
        <a:blip r:embed="rId166" cstate="print">
          <a:extLst>
            <a:ext uri="{28A0092B-C50C-407E-A947-70E740481C1C}">
              <a14:useLocalDpi xmlns:a14="http://schemas.microsoft.com/office/drawing/2010/main" val="0"/>
            </a:ext>
          </a:extLst>
        </a:blip>
        <a:srcRect/>
        <a:stretch>
          <a:fillRect/>
        </a:stretch>
      </xdr:blipFill>
      <xdr:spPr>
        <a:xfrm>
          <a:off x="9396095" y="4434141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4" name="ID_5F75D783335F426F8233BBCC8AC40CDB"/>
        <xdr:cNvPicPr preferRelativeResize="0">
          <a:picLocks noChangeArrowheads="1"/>
        </xdr:cNvPicPr>
      </xdr:nvPicPr>
      <xdr:blipFill>
        <a:blip r:embed="rId167" cstate="print">
          <a:extLst>
            <a:ext uri="{28A0092B-C50C-407E-A947-70E740481C1C}">
              <a14:useLocalDpi xmlns:a14="http://schemas.microsoft.com/office/drawing/2010/main" val="0"/>
            </a:ext>
          </a:extLst>
        </a:blip>
        <a:srcRect/>
        <a:stretch>
          <a:fillRect/>
        </a:stretch>
      </xdr:blipFill>
      <xdr:spPr>
        <a:xfrm>
          <a:off x="9396095" y="4506849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5" name="ID_F2D0075740F1425CB2DE0D564B34D3BD"/>
        <xdr:cNvPicPr preferRelativeResize="0">
          <a:picLocks noChangeArrowheads="1"/>
        </xdr:cNvPicPr>
      </xdr:nvPicPr>
      <xdr:blipFill>
        <a:blip r:embed="rId167" cstate="print">
          <a:extLst>
            <a:ext uri="{28A0092B-C50C-407E-A947-70E740481C1C}">
              <a14:useLocalDpi xmlns:a14="http://schemas.microsoft.com/office/drawing/2010/main" val="0"/>
            </a:ext>
          </a:extLst>
        </a:blip>
        <a:srcRect/>
        <a:stretch>
          <a:fillRect/>
        </a:stretch>
      </xdr:blipFill>
      <xdr:spPr>
        <a:xfrm>
          <a:off x="9396095" y="4574984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6" name="ID_74587E6C09F1445DAF8E6B135885C8AF"/>
        <xdr:cNvPicPr preferRelativeResize="0">
          <a:picLocks noChangeArrowheads="1"/>
        </xdr:cNvPicPr>
      </xdr:nvPicPr>
      <xdr:blipFill>
        <a:blip r:embed="rId208" cstate="print">
          <a:extLst>
            <a:ext uri="{28A0092B-C50C-407E-A947-70E740481C1C}">
              <a14:useLocalDpi xmlns:a14="http://schemas.microsoft.com/office/drawing/2010/main" val="0"/>
            </a:ext>
          </a:extLst>
        </a:blip>
        <a:srcRect/>
        <a:stretch>
          <a:fillRect/>
        </a:stretch>
      </xdr:blipFill>
      <xdr:spPr>
        <a:xfrm>
          <a:off x="9396095" y="4645025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7" name="ID_3CE8044D63994BC1A85A6B9825CA2311"/>
        <xdr:cNvPicPr preferRelativeResize="0">
          <a:picLocks noChangeArrowheads="1"/>
        </xdr:cNvPicPr>
      </xdr:nvPicPr>
      <xdr:blipFill>
        <a:blip r:embed="rId175" cstate="print">
          <a:extLst>
            <a:ext uri="{28A0092B-C50C-407E-A947-70E740481C1C}">
              <a14:useLocalDpi xmlns:a14="http://schemas.microsoft.com/office/drawing/2010/main" val="0"/>
            </a:ext>
          </a:extLst>
        </a:blip>
        <a:srcRect/>
        <a:stretch>
          <a:fillRect/>
        </a:stretch>
      </xdr:blipFill>
      <xdr:spPr>
        <a:xfrm>
          <a:off x="9396095" y="4715065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8" name="ID_F42E761C04DB4BB7BF60D9079B069FC5"/>
        <xdr:cNvPicPr preferRelativeResize="0">
          <a:picLocks noChangeArrowheads="1"/>
        </xdr:cNvPicPr>
      </xdr:nvPicPr>
      <xdr:blipFill>
        <a:blip r:embed="rId176" cstate="print">
          <a:extLst>
            <a:ext uri="{28A0092B-C50C-407E-A947-70E740481C1C}">
              <a14:useLocalDpi xmlns:a14="http://schemas.microsoft.com/office/drawing/2010/main" val="0"/>
            </a:ext>
          </a:extLst>
        </a:blip>
        <a:srcRect/>
        <a:stretch>
          <a:fillRect/>
        </a:stretch>
      </xdr:blipFill>
      <xdr:spPr>
        <a:xfrm>
          <a:off x="9396095" y="4785106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19" name="ID_1B053734B3D74270BA055FEF5F3E2397"/>
        <xdr:cNvPicPr preferRelativeResize="0">
          <a:picLocks noChangeArrowheads="1"/>
        </xdr:cNvPicPr>
      </xdr:nvPicPr>
      <xdr:blipFill>
        <a:blip r:embed="rId177" cstate="print">
          <a:extLst>
            <a:ext uri="{28A0092B-C50C-407E-A947-70E740481C1C}">
              <a14:useLocalDpi xmlns:a14="http://schemas.microsoft.com/office/drawing/2010/main" val="0"/>
            </a:ext>
          </a:extLst>
        </a:blip>
        <a:srcRect/>
        <a:stretch>
          <a:fillRect/>
        </a:stretch>
      </xdr:blipFill>
      <xdr:spPr>
        <a:xfrm>
          <a:off x="9396095" y="4858956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0" name="ID_E012EE1D369E44DAA4654430B09A3DC2"/>
        <xdr:cNvPicPr preferRelativeResize="0">
          <a:picLocks noChangeArrowheads="1"/>
        </xdr:cNvPicPr>
      </xdr:nvPicPr>
      <xdr:blipFill>
        <a:blip r:embed="rId209" cstate="print">
          <a:extLst>
            <a:ext uri="{28A0092B-C50C-407E-A947-70E740481C1C}">
              <a14:useLocalDpi xmlns:a14="http://schemas.microsoft.com/office/drawing/2010/main" val="0"/>
            </a:ext>
          </a:extLst>
        </a:blip>
        <a:srcRect/>
        <a:stretch>
          <a:fillRect/>
        </a:stretch>
      </xdr:blipFill>
      <xdr:spPr>
        <a:xfrm>
          <a:off x="9396095" y="4925187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1" name="ID_E7629D5E355C4E92BCB8B89EFA116FF6"/>
        <xdr:cNvPicPr preferRelativeResize="0">
          <a:picLocks noChangeArrowheads="1"/>
        </xdr:cNvPicPr>
      </xdr:nvPicPr>
      <xdr:blipFill>
        <a:blip r:embed="rId210" cstate="print">
          <a:extLst>
            <a:ext uri="{28A0092B-C50C-407E-A947-70E740481C1C}">
              <a14:useLocalDpi xmlns:a14="http://schemas.microsoft.com/office/drawing/2010/main" val="0"/>
            </a:ext>
          </a:extLst>
        </a:blip>
        <a:srcRect/>
        <a:stretch>
          <a:fillRect/>
        </a:stretch>
      </xdr:blipFill>
      <xdr:spPr>
        <a:xfrm>
          <a:off x="9396095" y="5001577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2" name="ID_6E9E27DADF7E4313A3702B91F2D6B440"/>
        <xdr:cNvPicPr preferRelativeResize="0">
          <a:picLocks noChangeArrowheads="1"/>
        </xdr:cNvPicPr>
      </xdr:nvPicPr>
      <xdr:blipFill>
        <a:blip r:embed="rId180" cstate="print">
          <a:extLst>
            <a:ext uri="{28A0092B-C50C-407E-A947-70E740481C1C}">
              <a14:useLocalDpi xmlns:a14="http://schemas.microsoft.com/office/drawing/2010/main" val="0"/>
            </a:ext>
          </a:extLst>
        </a:blip>
        <a:srcRect/>
        <a:stretch>
          <a:fillRect/>
        </a:stretch>
      </xdr:blipFill>
      <xdr:spPr>
        <a:xfrm>
          <a:off x="9396095" y="5065268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3" name="ID_EB122C11EA7C49D589B34AA29ACC3D62"/>
        <xdr:cNvPicPr preferRelativeResize="0">
          <a:picLocks noChangeArrowheads="1"/>
        </xdr:cNvPicPr>
      </xdr:nvPicPr>
      <xdr:blipFill>
        <a:blip r:embed="rId211" cstate="print">
          <a:extLst>
            <a:ext uri="{28A0092B-C50C-407E-A947-70E740481C1C}">
              <a14:useLocalDpi xmlns:a14="http://schemas.microsoft.com/office/drawing/2010/main" val="0"/>
            </a:ext>
          </a:extLst>
        </a:blip>
        <a:srcRect/>
        <a:stretch>
          <a:fillRect/>
        </a:stretch>
      </xdr:blipFill>
      <xdr:spPr>
        <a:xfrm>
          <a:off x="9396095" y="5135308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4" name="ID_812EEE048C2243939599F4730F94B824"/>
        <xdr:cNvPicPr preferRelativeResize="0">
          <a:picLocks noChangeArrowheads="1"/>
        </xdr:cNvPicPr>
      </xdr:nvPicPr>
      <xdr:blipFill>
        <a:blip r:embed="rId212" cstate="print">
          <a:extLst>
            <a:ext uri="{28A0092B-C50C-407E-A947-70E740481C1C}">
              <a14:useLocalDpi xmlns:a14="http://schemas.microsoft.com/office/drawing/2010/main" val="0"/>
            </a:ext>
          </a:extLst>
        </a:blip>
        <a:srcRect/>
        <a:stretch>
          <a:fillRect/>
        </a:stretch>
      </xdr:blipFill>
      <xdr:spPr>
        <a:xfrm>
          <a:off x="9396095" y="52053490"/>
          <a:ext cx="791845" cy="557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5" name="ID_9F1DBA8258914C0FBFB6869037171C45"/>
        <xdr:cNvPicPr preferRelativeResize="0">
          <a:picLocks noChangeArrowheads="1"/>
        </xdr:cNvPicPr>
      </xdr:nvPicPr>
      <xdr:blipFill>
        <a:blip r:embed="rId174" cstate="print">
          <a:extLst>
            <a:ext uri="{28A0092B-C50C-407E-A947-70E740481C1C}">
              <a14:useLocalDpi xmlns:a14="http://schemas.microsoft.com/office/drawing/2010/main" val="0"/>
            </a:ext>
          </a:extLst>
        </a:blip>
        <a:srcRect/>
        <a:stretch>
          <a:fillRect/>
        </a:stretch>
      </xdr:blipFill>
      <xdr:spPr>
        <a:xfrm>
          <a:off x="9396095" y="5275389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6" name="ID_52A22C5A3CC648DFBF5BB63D3B2C1B3E"/>
        <xdr:cNvPicPr preferRelativeResize="0">
          <a:picLocks noChangeArrowheads="1"/>
        </xdr:cNvPicPr>
      </xdr:nvPicPr>
      <xdr:blipFill>
        <a:blip r:embed="rId183" cstate="print">
          <a:extLst>
            <a:ext uri="{28A0092B-C50C-407E-A947-70E740481C1C}">
              <a14:useLocalDpi xmlns:a14="http://schemas.microsoft.com/office/drawing/2010/main" val="0"/>
            </a:ext>
          </a:extLst>
        </a:blip>
        <a:srcRect/>
        <a:stretch>
          <a:fillRect/>
        </a:stretch>
      </xdr:blipFill>
      <xdr:spPr>
        <a:xfrm>
          <a:off x="9396095" y="5345430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27" name="ID_38FF6FF6F12448F8B28021A732ED96E2"/>
        <xdr:cNvPicPr>
          <a:picLocks noChangeAspect="1"/>
        </xdr:cNvPicPr>
      </xdr:nvPicPr>
      <xdr:blipFill>
        <a:blip r:embed="rId184"/>
        <a:stretch>
          <a:fillRect/>
        </a:stretch>
      </xdr:blipFill>
      <xdr:spPr>
        <a:xfrm>
          <a:off x="9368790" y="54235985"/>
          <a:ext cx="869950" cy="494030"/>
        </a:xfrm>
        <a:prstGeom prst="rect">
          <a:avLst/>
        </a:prstGeom>
      </xdr:spPr>
    </xdr:pic>
  </etc:cellImage>
  <etc:cellImage>
    <xdr:pic>
      <xdr:nvPicPr>
        <xdr:cNvPr id="328" name="ID_8BDD754A738D4BCF8D54D2BB7A6AED91"/>
        <xdr:cNvPicPr preferRelativeResize="0"/>
      </xdr:nvPicPr>
      <xdr:blipFill>
        <a:blip r:embed="rId185"/>
        <a:stretch>
          <a:fillRect/>
        </a:stretch>
      </xdr:blipFill>
      <xdr:spPr>
        <a:xfrm>
          <a:off x="9396095" y="54899560"/>
          <a:ext cx="791845" cy="558165"/>
        </a:xfrm>
        <a:prstGeom prst="rect">
          <a:avLst/>
        </a:prstGeom>
        <a:noFill/>
        <a:ln w="9525">
          <a:noFill/>
        </a:ln>
      </xdr:spPr>
    </xdr:pic>
  </etc:cellImage>
  <etc:cellImage>
    <xdr:pic>
      <xdr:nvPicPr>
        <xdr:cNvPr id="329" name="ID_8B09B5B9FEF34844B7065426B3677FB8"/>
        <xdr:cNvPicPr preferRelativeResize="0">
          <a:picLocks noChangeArrowheads="1"/>
        </xdr:cNvPicPr>
      </xdr:nvPicPr>
      <xdr:blipFill>
        <a:blip r:embed="rId186" cstate="print">
          <a:extLst>
            <a:ext uri="{28A0092B-C50C-407E-A947-70E740481C1C}">
              <a14:useLocalDpi xmlns:a14="http://schemas.microsoft.com/office/drawing/2010/main" val="0"/>
            </a:ext>
          </a:extLst>
        </a:blip>
        <a:srcRect/>
        <a:stretch>
          <a:fillRect/>
        </a:stretch>
      </xdr:blipFill>
      <xdr:spPr>
        <a:xfrm>
          <a:off x="9396095" y="5552376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0" name="ID_F136FCCD0CF24DCAA29DC00BE2D7932C"/>
        <xdr:cNvPicPr preferRelativeResize="0">
          <a:picLocks noChangeArrowheads="1"/>
        </xdr:cNvPicPr>
      </xdr:nvPicPr>
      <xdr:blipFill>
        <a:blip r:embed="rId187" cstate="print">
          <a:extLst>
            <a:ext uri="{28A0092B-C50C-407E-A947-70E740481C1C}">
              <a14:useLocalDpi xmlns:a14="http://schemas.microsoft.com/office/drawing/2010/main" val="0"/>
            </a:ext>
          </a:extLst>
        </a:blip>
        <a:srcRect/>
        <a:stretch>
          <a:fillRect/>
        </a:stretch>
      </xdr:blipFill>
      <xdr:spPr>
        <a:xfrm>
          <a:off x="9396095" y="5624195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1" name="ID_79F63F178E5841838A94ADFA69922DFB"/>
        <xdr:cNvPicPr preferRelativeResize="0"/>
      </xdr:nvPicPr>
      <xdr:blipFill>
        <a:blip r:embed="rId188"/>
        <a:stretch>
          <a:fillRect/>
        </a:stretch>
      </xdr:blipFill>
      <xdr:spPr>
        <a:xfrm>
          <a:off x="9396095" y="56924575"/>
          <a:ext cx="791845" cy="558165"/>
        </a:xfrm>
        <a:prstGeom prst="rect">
          <a:avLst/>
        </a:prstGeom>
        <a:noFill/>
        <a:ln w="9525">
          <a:noFill/>
        </a:ln>
      </xdr:spPr>
    </xdr:pic>
  </etc:cellImage>
  <etc:cellImage>
    <xdr:pic>
      <xdr:nvPicPr>
        <xdr:cNvPr id="332" name="ID_E5914B3618344967821D807EED54D037"/>
        <xdr:cNvPicPr preferRelativeResize="0">
          <a:picLocks noChangeArrowheads="1"/>
        </xdr:cNvPicPr>
      </xdr:nvPicPr>
      <xdr:blipFill>
        <a:blip r:embed="rId189" cstate="print">
          <a:extLst>
            <a:ext uri="{28A0092B-C50C-407E-A947-70E740481C1C}">
              <a14:useLocalDpi xmlns:a14="http://schemas.microsoft.com/office/drawing/2010/main" val="0"/>
            </a:ext>
          </a:extLst>
        </a:blip>
        <a:srcRect/>
        <a:stretch>
          <a:fillRect/>
        </a:stretch>
      </xdr:blipFill>
      <xdr:spPr>
        <a:xfrm>
          <a:off x="9396095" y="5772340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3" name="ID_A29B1E42EAD8493297D9E1CD2B94A8AF"/>
        <xdr:cNvPicPr preferRelativeResize="0">
          <a:picLocks noChangeArrowheads="1"/>
        </xdr:cNvPicPr>
      </xdr:nvPicPr>
      <xdr:blipFill>
        <a:blip r:embed="rId190" cstate="print">
          <a:extLst>
            <a:ext uri="{28A0092B-C50C-407E-A947-70E740481C1C}">
              <a14:useLocalDpi xmlns:a14="http://schemas.microsoft.com/office/drawing/2010/main" val="0"/>
            </a:ext>
          </a:extLst>
        </a:blip>
        <a:srcRect/>
        <a:stretch>
          <a:fillRect/>
        </a:stretch>
      </xdr:blipFill>
      <xdr:spPr>
        <a:xfrm>
          <a:off x="9396095" y="5837618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4" name="ID_A0DB71220DD746A0B6E51A1901EAD771"/>
        <xdr:cNvPicPr preferRelativeResize="0">
          <a:picLocks noChangeArrowheads="1"/>
        </xdr:cNvPicPr>
      </xdr:nvPicPr>
      <xdr:blipFill>
        <a:blip r:embed="rId192" cstate="print">
          <a:extLst>
            <a:ext uri="{28A0092B-C50C-407E-A947-70E740481C1C}">
              <a14:useLocalDpi xmlns:a14="http://schemas.microsoft.com/office/drawing/2010/main" val="0"/>
            </a:ext>
          </a:extLst>
        </a:blip>
        <a:srcRect/>
        <a:stretch>
          <a:fillRect/>
        </a:stretch>
      </xdr:blipFill>
      <xdr:spPr>
        <a:xfrm>
          <a:off x="9396095" y="5908611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5" name="ID_25F0DABD093A4D478B49224A3648277E"/>
        <xdr:cNvPicPr preferRelativeResize="0">
          <a:picLocks noChangeArrowheads="1"/>
        </xdr:cNvPicPr>
      </xdr:nvPicPr>
      <xdr:blipFill>
        <a:blip r:embed="rId193" cstate="print">
          <a:extLst>
            <a:ext uri="{28A0092B-C50C-407E-A947-70E740481C1C}">
              <a14:useLocalDpi xmlns:a14="http://schemas.microsoft.com/office/drawing/2010/main" val="0"/>
            </a:ext>
          </a:extLst>
        </a:blip>
        <a:srcRect/>
        <a:stretch>
          <a:fillRect/>
        </a:stretch>
      </xdr:blipFill>
      <xdr:spPr>
        <a:xfrm>
          <a:off x="9396095" y="5980557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6" name="ID_FCD261A6F5344AFDBA5CE1C23C3429BB"/>
        <xdr:cNvPicPr preferRelativeResize="0">
          <a:picLocks noChangeArrowheads="1"/>
        </xdr:cNvPicPr>
      </xdr:nvPicPr>
      <xdr:blipFill>
        <a:blip r:embed="rId195" cstate="print">
          <a:extLst>
            <a:ext uri="{28A0092B-C50C-407E-A947-70E740481C1C}">
              <a14:useLocalDpi xmlns:a14="http://schemas.microsoft.com/office/drawing/2010/main" val="0"/>
            </a:ext>
          </a:extLst>
        </a:blip>
        <a:srcRect/>
        <a:stretch>
          <a:fillRect/>
        </a:stretch>
      </xdr:blipFill>
      <xdr:spPr>
        <a:xfrm>
          <a:off x="9396095" y="6052185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7" name="ID_00C14F523A0C4BF8911061F264A735FD"/>
        <xdr:cNvPicPr preferRelativeResize="0">
          <a:picLocks noChangeArrowheads="1"/>
        </xdr:cNvPicPr>
      </xdr:nvPicPr>
      <xdr:blipFill>
        <a:blip r:embed="rId196" cstate="print">
          <a:extLst>
            <a:ext uri="{28A0092B-C50C-407E-A947-70E740481C1C}">
              <a14:useLocalDpi xmlns:a14="http://schemas.microsoft.com/office/drawing/2010/main" val="0"/>
            </a:ext>
          </a:extLst>
        </a:blip>
        <a:srcRect/>
        <a:stretch>
          <a:fillRect/>
        </a:stretch>
      </xdr:blipFill>
      <xdr:spPr>
        <a:xfrm>
          <a:off x="9396095" y="6115875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8" name="ID_C9B7A34AD9BE44C68EE8E533E95784EC"/>
        <xdr:cNvPicPr preferRelativeResize="0">
          <a:picLocks noChangeArrowheads="1"/>
        </xdr:cNvPicPr>
      </xdr:nvPicPr>
      <xdr:blipFill>
        <a:blip r:embed="rId198" cstate="print">
          <a:extLst>
            <a:ext uri="{28A0092B-C50C-407E-A947-70E740481C1C}">
              <a14:useLocalDpi xmlns:a14="http://schemas.microsoft.com/office/drawing/2010/main" val="0"/>
            </a:ext>
          </a:extLst>
        </a:blip>
        <a:srcRect/>
        <a:stretch>
          <a:fillRect/>
        </a:stretch>
      </xdr:blipFill>
      <xdr:spPr>
        <a:xfrm>
          <a:off x="9396095" y="6190361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39" name="ID_08F1C8EA056A43718EFED4F41C5600D1"/>
        <xdr:cNvPicPr preferRelativeResize="0">
          <a:picLocks noChangeArrowheads="1"/>
        </xdr:cNvPicPr>
      </xdr:nvPicPr>
      <xdr:blipFill>
        <a:blip r:embed="rId199" cstate="print">
          <a:extLst>
            <a:ext uri="{28A0092B-C50C-407E-A947-70E740481C1C}">
              <a14:useLocalDpi xmlns:a14="http://schemas.microsoft.com/office/drawing/2010/main" val="0"/>
            </a:ext>
          </a:extLst>
        </a:blip>
        <a:srcRect/>
        <a:stretch>
          <a:fillRect/>
        </a:stretch>
      </xdr:blipFill>
      <xdr:spPr>
        <a:xfrm>
          <a:off x="9396095" y="6255956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40" name="ID_A593515CEA4D46648B8026B659E63572"/>
        <xdr:cNvPicPr preferRelativeResize="0">
          <a:picLocks noChangeArrowheads="1"/>
        </xdr:cNvPicPr>
      </xdr:nvPicPr>
      <xdr:blipFill>
        <a:blip r:embed="rId202" cstate="print">
          <a:extLst>
            <a:ext uri="{28A0092B-C50C-407E-A947-70E740481C1C}">
              <a14:useLocalDpi xmlns:a14="http://schemas.microsoft.com/office/drawing/2010/main" val="0"/>
            </a:ext>
          </a:extLst>
        </a:blip>
        <a:srcRect/>
        <a:stretch>
          <a:fillRect/>
        </a:stretch>
      </xdr:blipFill>
      <xdr:spPr>
        <a:xfrm>
          <a:off x="9396095" y="6325997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41" name="ID_0A2EC4FC1F0146CAA2FD8E74CA9F633D"/>
        <xdr:cNvPicPr preferRelativeResize="0">
          <a:picLocks noChangeArrowheads="1"/>
        </xdr:cNvPicPr>
      </xdr:nvPicPr>
      <xdr:blipFill>
        <a:blip r:embed="rId203" cstate="print">
          <a:extLst>
            <a:ext uri="{28A0092B-C50C-407E-A947-70E740481C1C}">
              <a14:useLocalDpi xmlns:a14="http://schemas.microsoft.com/office/drawing/2010/main" val="0"/>
            </a:ext>
          </a:extLst>
        </a:blip>
        <a:srcRect/>
        <a:stretch>
          <a:fillRect/>
        </a:stretch>
      </xdr:blipFill>
      <xdr:spPr>
        <a:xfrm>
          <a:off x="9396095" y="6396037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42" name="ID_4AA08DD31EC74298BBE575F85C856223"/>
        <xdr:cNvPicPr preferRelativeResize="0">
          <a:picLocks noChangeArrowheads="1"/>
        </xdr:cNvPicPr>
      </xdr:nvPicPr>
      <xdr:blipFill>
        <a:blip r:embed="rId204" cstate="print">
          <a:extLst>
            <a:ext uri="{28A0092B-C50C-407E-A947-70E740481C1C}">
              <a14:useLocalDpi xmlns:a14="http://schemas.microsoft.com/office/drawing/2010/main" val="0"/>
            </a:ext>
          </a:extLst>
        </a:blip>
        <a:srcRect/>
        <a:stretch>
          <a:fillRect/>
        </a:stretch>
      </xdr:blipFill>
      <xdr:spPr>
        <a:xfrm>
          <a:off x="9396095" y="6465316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43" name="ID_6C74F146F2714390A9600A81E05EEA3E"/>
        <xdr:cNvPicPr preferRelativeResize="0">
          <a:picLocks noChangeArrowheads="1"/>
        </xdr:cNvPicPr>
      </xdr:nvPicPr>
      <xdr:blipFill>
        <a:blip r:embed="rId205" cstate="print">
          <a:extLst>
            <a:ext uri="{28A0092B-C50C-407E-A947-70E740481C1C}">
              <a14:useLocalDpi xmlns:a14="http://schemas.microsoft.com/office/drawing/2010/main" val="0"/>
            </a:ext>
          </a:extLst>
        </a:blip>
        <a:srcRect/>
        <a:stretch>
          <a:fillRect/>
        </a:stretch>
      </xdr:blipFill>
      <xdr:spPr>
        <a:xfrm>
          <a:off x="9396095" y="65361185"/>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44" name="ID_5855E887F65540F9BBAF08A6CD1BDC20"/>
        <xdr:cNvPicPr preferRelativeResize="0">
          <a:picLocks noChangeArrowheads="1"/>
        </xdr:cNvPicPr>
      </xdr:nvPicPr>
      <xdr:blipFill>
        <a:blip r:embed="rId207" cstate="print">
          <a:extLst>
            <a:ext uri="{28A0092B-C50C-407E-A947-70E740481C1C}">
              <a14:useLocalDpi xmlns:a14="http://schemas.microsoft.com/office/drawing/2010/main" val="0"/>
            </a:ext>
          </a:extLst>
        </a:blip>
        <a:srcRect/>
        <a:stretch>
          <a:fillRect/>
        </a:stretch>
      </xdr:blipFill>
      <xdr:spPr>
        <a:xfrm>
          <a:off x="9396095" y="66061590"/>
          <a:ext cx="791845" cy="558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347" name="ID_100532127D5445939BE48BFC89B485A2" descr="557a67a7aca5fe21e4571be737e508e"/>
        <xdr:cNvPicPr>
          <a:picLocks noChangeAspect="1"/>
        </xdr:cNvPicPr>
      </xdr:nvPicPr>
      <xdr:blipFill>
        <a:blip r:embed="rId213"/>
        <a:stretch>
          <a:fillRect/>
        </a:stretch>
      </xdr:blipFill>
      <xdr:spPr>
        <a:xfrm>
          <a:off x="4021455" y="2533650"/>
          <a:ext cx="760730" cy="762000"/>
        </a:xfrm>
        <a:prstGeom prst="rect">
          <a:avLst/>
        </a:prstGeom>
      </xdr:spPr>
    </xdr:pic>
  </etc:cellImage>
  <etc:cellImage>
    <xdr:pic>
      <xdr:nvPicPr>
        <xdr:cNvPr id="348" name="ID_1767DE1110C944DF86350D94FA599627"/>
        <xdr:cNvPicPr>
          <a:picLocks noChangeAspect="1"/>
        </xdr:cNvPicPr>
      </xdr:nvPicPr>
      <xdr:blipFill>
        <a:blip r:embed="rId214"/>
        <a:stretch>
          <a:fillRect/>
        </a:stretch>
      </xdr:blipFill>
      <xdr:spPr>
        <a:xfrm>
          <a:off x="3868420" y="3514725"/>
          <a:ext cx="1031875" cy="560070"/>
        </a:xfrm>
        <a:prstGeom prst="rect">
          <a:avLst/>
        </a:prstGeom>
        <a:noFill/>
        <a:ln w="9525">
          <a:noFill/>
        </a:ln>
      </xdr:spPr>
    </xdr:pic>
  </etc:cellImage>
  <etc:cellImage>
    <xdr:pic>
      <xdr:nvPicPr>
        <xdr:cNvPr id="349" name="ID_FB2CE84AD7034C9796DEFB1954237AB3"/>
        <xdr:cNvPicPr>
          <a:picLocks noChangeAspect="1"/>
        </xdr:cNvPicPr>
      </xdr:nvPicPr>
      <xdr:blipFill>
        <a:blip r:embed="rId215"/>
        <a:stretch>
          <a:fillRect/>
        </a:stretch>
      </xdr:blipFill>
      <xdr:spPr>
        <a:xfrm>
          <a:off x="3961130" y="4342765"/>
          <a:ext cx="798830" cy="614045"/>
        </a:xfrm>
        <a:prstGeom prst="rect">
          <a:avLst/>
        </a:prstGeom>
        <a:noFill/>
        <a:ln w="9525">
          <a:noFill/>
        </a:ln>
      </xdr:spPr>
    </xdr:pic>
  </etc:cellImage>
  <etc:cellImage>
    <xdr:pic>
      <xdr:nvPicPr>
        <xdr:cNvPr id="350" name="ID_7DD67DECE7844F6585891BFE0F933CD0" descr="学习状态调整系统"/>
        <xdr:cNvPicPr>
          <a:picLocks noChangeAspect="1"/>
        </xdr:cNvPicPr>
      </xdr:nvPicPr>
      <xdr:blipFill>
        <a:blip r:embed="rId216"/>
        <a:stretch>
          <a:fillRect/>
        </a:stretch>
      </xdr:blipFill>
      <xdr:spPr>
        <a:xfrm>
          <a:off x="3905250" y="5172075"/>
          <a:ext cx="1179195" cy="713740"/>
        </a:xfrm>
        <a:prstGeom prst="rect">
          <a:avLst/>
        </a:prstGeom>
      </xdr:spPr>
    </xdr:pic>
  </etc:cellImage>
  <etc:cellImage>
    <xdr:pic>
      <xdr:nvPicPr>
        <xdr:cNvPr id="351" name="ID_DC08FE125DCE4EF49298CB42403209E5"/>
        <xdr:cNvPicPr>
          <a:picLocks noChangeAspect="1"/>
        </xdr:cNvPicPr>
      </xdr:nvPicPr>
      <xdr:blipFill>
        <a:blip r:embed="rId217"/>
        <a:stretch>
          <a:fillRect/>
        </a:stretch>
      </xdr:blipFill>
      <xdr:spPr>
        <a:xfrm>
          <a:off x="4043045" y="6178550"/>
          <a:ext cx="861695" cy="660400"/>
        </a:xfrm>
        <a:prstGeom prst="rect">
          <a:avLst/>
        </a:prstGeom>
        <a:noFill/>
        <a:ln w="9525">
          <a:noFill/>
        </a:ln>
      </xdr:spPr>
    </xdr:pic>
  </etc:cellImage>
  <etc:cellImage>
    <xdr:pic>
      <xdr:nvPicPr>
        <xdr:cNvPr id="352" name="ID_17D91FFA7FF44CF0A681622032EF964D"/>
        <xdr:cNvPicPr>
          <a:picLocks noChangeAspect="1"/>
        </xdr:cNvPicPr>
      </xdr:nvPicPr>
      <xdr:blipFill>
        <a:blip r:embed="rId218"/>
        <a:stretch>
          <a:fillRect/>
        </a:stretch>
      </xdr:blipFill>
      <xdr:spPr>
        <a:xfrm>
          <a:off x="4111625" y="6946900"/>
          <a:ext cx="539750" cy="659765"/>
        </a:xfrm>
        <a:prstGeom prst="rect">
          <a:avLst/>
        </a:prstGeom>
        <a:noFill/>
        <a:ln w="9525">
          <a:noFill/>
        </a:ln>
      </xdr:spPr>
    </xdr:pic>
  </etc:cellImage>
  <etc:cellImage>
    <xdr:pic>
      <xdr:nvPicPr>
        <xdr:cNvPr id="353" name="ID_9FF4E8AEB4534DF3891B0118D2BC7BA8" descr="1705998101372_副本"/>
        <xdr:cNvPicPr>
          <a:picLocks noChangeAspect="1"/>
        </xdr:cNvPicPr>
      </xdr:nvPicPr>
      <xdr:blipFill>
        <a:blip r:embed="rId219"/>
        <a:stretch>
          <a:fillRect/>
        </a:stretch>
      </xdr:blipFill>
      <xdr:spPr>
        <a:xfrm>
          <a:off x="4129405" y="7858125"/>
          <a:ext cx="553085" cy="440690"/>
        </a:xfrm>
        <a:prstGeom prst="rect">
          <a:avLst/>
        </a:prstGeom>
      </xdr:spPr>
    </xdr:pic>
  </etc:cellImage>
  <etc:cellImage>
    <xdr:pic>
      <xdr:nvPicPr>
        <xdr:cNvPr id="354" name="ID_F3ECB5C9B3FC4C7B9B73216956AE4EA1" descr="1711691738837_副本"/>
        <xdr:cNvPicPr>
          <a:picLocks noChangeAspect="1"/>
        </xdr:cNvPicPr>
      </xdr:nvPicPr>
      <xdr:blipFill>
        <a:blip r:embed="rId220"/>
        <a:stretch>
          <a:fillRect/>
        </a:stretch>
      </xdr:blipFill>
      <xdr:spPr>
        <a:xfrm>
          <a:off x="3811905" y="8696325"/>
          <a:ext cx="1118235" cy="430530"/>
        </a:xfrm>
        <a:prstGeom prst="rect">
          <a:avLst/>
        </a:prstGeom>
      </xdr:spPr>
    </xdr:pic>
  </etc:cellImage>
  <etc:cellImage>
    <xdr:pic>
      <xdr:nvPicPr>
        <xdr:cNvPr id="355" name="ID_30CBA93391CE445A84EC78874D8EDCF1" descr="cc6efa7307697d45130f25b98ceec249"/>
        <xdr:cNvPicPr>
          <a:picLocks noChangeAspect="1"/>
        </xdr:cNvPicPr>
      </xdr:nvPicPr>
      <xdr:blipFill>
        <a:blip r:embed="rId221"/>
        <a:stretch>
          <a:fillRect/>
        </a:stretch>
      </xdr:blipFill>
      <xdr:spPr>
        <a:xfrm>
          <a:off x="4088765" y="9277350"/>
          <a:ext cx="520700" cy="629920"/>
        </a:xfrm>
        <a:prstGeom prst="rect">
          <a:avLst/>
        </a:prstGeom>
      </xdr:spPr>
    </xdr:pic>
  </etc:cellImage>
  <etc:cellImage>
    <xdr:pic>
      <xdr:nvPicPr>
        <xdr:cNvPr id="356" name="ID_551C54BBC0F6424DA013CE59D87EA18C" descr="17911cb69c7f1c4688658a369ed74f4"/>
        <xdr:cNvPicPr>
          <a:picLocks noChangeAspect="1"/>
        </xdr:cNvPicPr>
      </xdr:nvPicPr>
      <xdr:blipFill>
        <a:blip r:embed="rId222"/>
        <a:stretch>
          <a:fillRect/>
        </a:stretch>
      </xdr:blipFill>
      <xdr:spPr>
        <a:xfrm>
          <a:off x="3971925" y="10487025"/>
          <a:ext cx="815340" cy="690880"/>
        </a:xfrm>
        <a:prstGeom prst="rect">
          <a:avLst/>
        </a:prstGeom>
      </xdr:spPr>
    </xdr:pic>
  </etc:cellImage>
  <etc:cellImage>
    <xdr:pic>
      <xdr:nvPicPr>
        <xdr:cNvPr id="357" name="ID_496E5AC7D8474D5EB135C1C5F3307F3F" descr="4c2d366ecbe1fc6b81ae3e5be1f3d48"/>
        <xdr:cNvPicPr>
          <a:picLocks noChangeAspect="1"/>
        </xdr:cNvPicPr>
      </xdr:nvPicPr>
      <xdr:blipFill>
        <a:blip r:embed="rId223"/>
        <a:stretch>
          <a:fillRect/>
        </a:stretch>
      </xdr:blipFill>
      <xdr:spPr>
        <a:xfrm>
          <a:off x="3993515" y="11557000"/>
          <a:ext cx="894080" cy="561975"/>
        </a:xfrm>
        <a:prstGeom prst="rect">
          <a:avLst/>
        </a:prstGeom>
      </xdr:spPr>
    </xdr:pic>
  </etc:cellImage>
  <etc:cellImage>
    <xdr:pic>
      <xdr:nvPicPr>
        <xdr:cNvPr id="358" name="ID_ECDAB27B7B934F3C9A8C0C5D0F09A9FF" descr="1711691738837_副本"/>
        <xdr:cNvPicPr>
          <a:picLocks noChangeAspect="1"/>
        </xdr:cNvPicPr>
      </xdr:nvPicPr>
      <xdr:blipFill>
        <a:blip r:embed="rId220"/>
        <a:stretch>
          <a:fillRect/>
        </a:stretch>
      </xdr:blipFill>
      <xdr:spPr>
        <a:xfrm>
          <a:off x="3811270" y="12439650"/>
          <a:ext cx="1118235" cy="430530"/>
        </a:xfrm>
        <a:prstGeom prst="rect">
          <a:avLst/>
        </a:prstGeom>
      </xdr:spPr>
    </xdr:pic>
  </etc:cellImage>
  <etc:cellImage>
    <xdr:pic>
      <xdr:nvPicPr>
        <xdr:cNvPr id="359" name="ID_0F7983FCE38A4784ACBDB113EA4A441D" descr="制度"/>
        <xdr:cNvPicPr>
          <a:picLocks noChangeAspect="1"/>
        </xdr:cNvPicPr>
      </xdr:nvPicPr>
      <xdr:blipFill>
        <a:blip r:embed="rId221"/>
        <a:stretch>
          <a:fillRect/>
        </a:stretch>
      </xdr:blipFill>
      <xdr:spPr>
        <a:xfrm>
          <a:off x="4129405" y="13157200"/>
          <a:ext cx="573405" cy="695960"/>
        </a:xfrm>
        <a:prstGeom prst="rect">
          <a:avLst/>
        </a:prstGeom>
      </xdr:spPr>
    </xdr:pic>
  </etc:cellImage>
  <etc:cellImage>
    <xdr:pic>
      <xdr:nvPicPr>
        <xdr:cNvPr id="360" name="ID_D639B9DA2F9B4B6CAD76426FBB1037B1"/>
        <xdr:cNvPicPr>
          <a:picLocks noChangeAspect="1"/>
        </xdr:cNvPicPr>
      </xdr:nvPicPr>
      <xdr:blipFill>
        <a:blip r:embed="rId224"/>
        <a:stretch>
          <a:fillRect/>
        </a:stretch>
      </xdr:blipFill>
      <xdr:spPr>
        <a:xfrm>
          <a:off x="12093575" y="281978100"/>
          <a:ext cx="4419600" cy="3162300"/>
        </a:xfrm>
        <a:prstGeom prst="rect">
          <a:avLst/>
        </a:prstGeom>
        <a:noFill/>
        <a:ln w="9525">
          <a:noFill/>
        </a:ln>
      </xdr:spPr>
    </xdr:pic>
  </etc:cellImage>
  <etc:cellImage>
    <xdr:pic>
      <xdr:nvPicPr>
        <xdr:cNvPr id="361" name="ID_99BC2BC45B68493FB1B3FDDDF807B653"/>
        <xdr:cNvPicPr>
          <a:picLocks noChangeAspect="1"/>
        </xdr:cNvPicPr>
      </xdr:nvPicPr>
      <xdr:blipFill>
        <a:blip r:embed="rId225"/>
        <a:stretch>
          <a:fillRect/>
        </a:stretch>
      </xdr:blipFill>
      <xdr:spPr>
        <a:xfrm>
          <a:off x="12093575" y="280139775"/>
          <a:ext cx="4505325" cy="3190875"/>
        </a:xfrm>
        <a:prstGeom prst="rect">
          <a:avLst/>
        </a:prstGeom>
        <a:noFill/>
        <a:ln w="9525">
          <a:noFill/>
        </a:ln>
      </xdr:spPr>
    </xdr:pic>
  </etc:cellImage>
  <etc:cellImage>
    <xdr:pic>
      <xdr:nvPicPr>
        <xdr:cNvPr id="362" name="ID_A236641305DE49D6BC54443B0C2671EE"/>
        <xdr:cNvPicPr>
          <a:picLocks noChangeAspect="1"/>
        </xdr:cNvPicPr>
      </xdr:nvPicPr>
      <xdr:blipFill>
        <a:blip r:embed="rId226"/>
        <a:stretch>
          <a:fillRect/>
        </a:stretch>
      </xdr:blipFill>
      <xdr:spPr>
        <a:xfrm>
          <a:off x="12093575" y="283892625"/>
          <a:ext cx="4276725" cy="3152775"/>
        </a:xfrm>
        <a:prstGeom prst="rect">
          <a:avLst/>
        </a:prstGeom>
        <a:noFill/>
        <a:ln w="9525">
          <a:noFill/>
        </a:ln>
      </xdr:spPr>
    </xdr:pic>
  </etc:cellImage>
  <etc:cellImage>
    <xdr:pic>
      <xdr:nvPicPr>
        <xdr:cNvPr id="363" name="ID_7E9C49339D594854BA167FB001511602"/>
        <xdr:cNvPicPr>
          <a:picLocks noChangeAspect="1"/>
        </xdr:cNvPicPr>
      </xdr:nvPicPr>
      <xdr:blipFill>
        <a:blip r:embed="rId227"/>
        <a:stretch>
          <a:fillRect/>
        </a:stretch>
      </xdr:blipFill>
      <xdr:spPr>
        <a:xfrm>
          <a:off x="12093575" y="287251775"/>
          <a:ext cx="4124325" cy="2457450"/>
        </a:xfrm>
        <a:prstGeom prst="rect">
          <a:avLst/>
        </a:prstGeom>
        <a:noFill/>
        <a:ln w="9525">
          <a:noFill/>
        </a:ln>
      </xdr:spPr>
    </xdr:pic>
  </etc:cellImage>
  <etc:cellImage>
    <xdr:pic>
      <xdr:nvPicPr>
        <xdr:cNvPr id="364" name="ID_315681F0547C442A91694AD73D228492"/>
        <xdr:cNvPicPr>
          <a:picLocks noChangeAspect="1"/>
        </xdr:cNvPicPr>
      </xdr:nvPicPr>
      <xdr:blipFill>
        <a:blip r:embed="rId228"/>
        <a:stretch>
          <a:fillRect/>
        </a:stretch>
      </xdr:blipFill>
      <xdr:spPr>
        <a:xfrm>
          <a:off x="12093575" y="285473775"/>
          <a:ext cx="4095750" cy="3438525"/>
        </a:xfrm>
        <a:prstGeom prst="rect">
          <a:avLst/>
        </a:prstGeom>
        <a:noFill/>
        <a:ln w="9525">
          <a:noFill/>
        </a:ln>
      </xdr:spPr>
    </xdr:pic>
  </etc:cellImage>
  <etc:cellImage>
    <xdr:pic>
      <xdr:nvPicPr>
        <xdr:cNvPr id="365" name="ID_EFB6D94FE0E34E2AAC00916E9DA18BD8"/>
        <xdr:cNvPicPr>
          <a:picLocks noChangeAspect="1"/>
        </xdr:cNvPicPr>
      </xdr:nvPicPr>
      <xdr:blipFill>
        <a:blip r:embed="rId229"/>
        <a:stretch>
          <a:fillRect/>
        </a:stretch>
      </xdr:blipFill>
      <xdr:spPr>
        <a:xfrm>
          <a:off x="12093575" y="289029775"/>
          <a:ext cx="3876675" cy="4019550"/>
        </a:xfrm>
        <a:prstGeom prst="rect">
          <a:avLst/>
        </a:prstGeom>
        <a:noFill/>
        <a:ln w="9525">
          <a:noFill/>
        </a:ln>
      </xdr:spPr>
    </xdr:pic>
  </etc:cellImage>
  <etc:cellImage>
    <xdr:pic>
      <xdr:nvPicPr>
        <xdr:cNvPr id="366" name="ID_DF63C76CABAF43E291C68383786090D5"/>
        <xdr:cNvPicPr>
          <a:picLocks noChangeAspect="1"/>
        </xdr:cNvPicPr>
      </xdr:nvPicPr>
      <xdr:blipFill>
        <a:blip r:embed="rId230"/>
        <a:stretch>
          <a:fillRect/>
        </a:stretch>
      </xdr:blipFill>
      <xdr:spPr>
        <a:xfrm>
          <a:off x="12093575" y="292585775"/>
          <a:ext cx="3990975" cy="2219325"/>
        </a:xfrm>
        <a:prstGeom prst="rect">
          <a:avLst/>
        </a:prstGeom>
        <a:noFill/>
        <a:ln w="9525">
          <a:noFill/>
        </a:ln>
      </xdr:spPr>
    </xdr:pic>
  </etc:cellImage>
  <etc:cellImage>
    <xdr:pic>
      <xdr:nvPicPr>
        <xdr:cNvPr id="375" name="ID_3B9A471163F540FBAC9D5227B2548B5B"/>
        <xdr:cNvPicPr>
          <a:picLocks noChangeAspect="1"/>
        </xdr:cNvPicPr>
      </xdr:nvPicPr>
      <xdr:blipFill>
        <a:blip r:embed="rId231"/>
        <a:stretch>
          <a:fillRect/>
        </a:stretch>
      </xdr:blipFill>
      <xdr:spPr>
        <a:xfrm>
          <a:off x="7943850" y="31745555"/>
          <a:ext cx="1191260" cy="1247775"/>
        </a:xfrm>
        <a:prstGeom prst="rect">
          <a:avLst/>
        </a:prstGeom>
        <a:noFill/>
        <a:ln w="9525">
          <a:noFill/>
        </a:ln>
      </xdr:spPr>
    </xdr:pic>
  </etc:cellImage>
  <etc:cellImage>
    <xdr:pic>
      <xdr:nvPicPr>
        <xdr:cNvPr id="44" name="ID_9BAC0CCEAEFD4C66A3078BA556142FCB"/>
        <xdr:cNvPicPr>
          <a:picLocks noChangeAspect="1"/>
        </xdr:cNvPicPr>
      </xdr:nvPicPr>
      <xdr:blipFill>
        <a:blip r:embed="rId232"/>
        <a:stretch>
          <a:fillRect/>
        </a:stretch>
      </xdr:blipFill>
      <xdr:spPr>
        <a:xfrm>
          <a:off x="7496175" y="691515"/>
          <a:ext cx="1029335" cy="781050"/>
        </a:xfrm>
        <a:prstGeom prst="rect">
          <a:avLst/>
        </a:prstGeom>
      </xdr:spPr>
    </xdr:pic>
  </etc:cellImage>
  <etc:cellImage>
    <xdr:pic>
      <xdr:nvPicPr>
        <xdr:cNvPr id="230" name="ID_1421E74AB9864DA9BAC455EA087A18BD"/>
        <xdr:cNvPicPr>
          <a:picLocks noChangeAspect="1"/>
        </xdr:cNvPicPr>
      </xdr:nvPicPr>
      <xdr:blipFill>
        <a:blip r:embed="rId233"/>
        <a:stretch>
          <a:fillRect/>
        </a:stretch>
      </xdr:blipFill>
      <xdr:spPr>
        <a:xfrm>
          <a:off x="7553325" y="2511425"/>
          <a:ext cx="1023620" cy="1036320"/>
        </a:xfrm>
        <a:prstGeom prst="rect">
          <a:avLst/>
        </a:prstGeom>
      </xdr:spPr>
    </xdr:pic>
  </etc:cellImage>
  <etc:cellImage>
    <xdr:pic>
      <xdr:nvPicPr>
        <xdr:cNvPr id="238" name="ID_3FCF5D9378F845B2920AE039063674C0"/>
        <xdr:cNvPicPr>
          <a:picLocks noChangeAspect="1"/>
        </xdr:cNvPicPr>
      </xdr:nvPicPr>
      <xdr:blipFill>
        <a:blip r:embed="rId234"/>
        <a:stretch>
          <a:fillRect/>
        </a:stretch>
      </xdr:blipFill>
      <xdr:spPr>
        <a:xfrm>
          <a:off x="7772400" y="3352165"/>
          <a:ext cx="493395" cy="933450"/>
        </a:xfrm>
        <a:prstGeom prst="rect">
          <a:avLst/>
        </a:prstGeom>
      </xdr:spPr>
    </xdr:pic>
  </etc:cellImage>
  <etc:cellImage>
    <xdr:pic>
      <xdr:nvPicPr>
        <xdr:cNvPr id="367" name="ID_D9010DF1E3274C23AD29947181C35B6B"/>
        <xdr:cNvPicPr>
          <a:picLocks noChangeAspect="1"/>
        </xdr:cNvPicPr>
      </xdr:nvPicPr>
      <xdr:blipFill>
        <a:blip r:embed="rId235"/>
        <a:stretch>
          <a:fillRect/>
        </a:stretch>
      </xdr:blipFill>
      <xdr:spPr>
        <a:xfrm>
          <a:off x="7620000" y="4244975"/>
          <a:ext cx="657225" cy="791210"/>
        </a:xfrm>
        <a:prstGeom prst="rect">
          <a:avLst/>
        </a:prstGeom>
      </xdr:spPr>
    </xdr:pic>
  </etc:cellImage>
  <etc:cellImage>
    <xdr:pic>
      <xdr:nvPicPr>
        <xdr:cNvPr id="369" name="ID_1CA6D235F5784998A849CD6202A5A76E"/>
        <xdr:cNvPicPr>
          <a:picLocks noChangeAspect="1"/>
        </xdr:cNvPicPr>
      </xdr:nvPicPr>
      <xdr:blipFill>
        <a:blip r:embed="rId236"/>
        <a:stretch>
          <a:fillRect/>
        </a:stretch>
      </xdr:blipFill>
      <xdr:spPr>
        <a:xfrm>
          <a:off x="7686675" y="5168900"/>
          <a:ext cx="718820" cy="999490"/>
        </a:xfrm>
        <a:prstGeom prst="rect">
          <a:avLst/>
        </a:prstGeom>
      </xdr:spPr>
    </xdr:pic>
  </etc:cellImage>
  <etc:cellImage>
    <xdr:pic>
      <xdr:nvPicPr>
        <xdr:cNvPr id="370" name="ID_2B2F8E51FDCD46B594D8B5E28657AD60"/>
        <xdr:cNvPicPr>
          <a:picLocks noChangeAspect="1"/>
        </xdr:cNvPicPr>
      </xdr:nvPicPr>
      <xdr:blipFill>
        <a:blip r:embed="rId237"/>
        <a:stretch>
          <a:fillRect/>
        </a:stretch>
      </xdr:blipFill>
      <xdr:spPr>
        <a:xfrm>
          <a:off x="7734300" y="6137910"/>
          <a:ext cx="514350" cy="1100455"/>
        </a:xfrm>
        <a:prstGeom prst="rect">
          <a:avLst/>
        </a:prstGeom>
      </xdr:spPr>
    </xdr:pic>
  </etc:cellImage>
  <etc:cellImage>
    <xdr:pic>
      <xdr:nvPicPr>
        <xdr:cNvPr id="371" name="ID_34672009AEA34BC4A73A46A6847935A0"/>
        <xdr:cNvPicPr>
          <a:picLocks noChangeAspect="1"/>
        </xdr:cNvPicPr>
      </xdr:nvPicPr>
      <xdr:blipFill>
        <a:blip r:embed="rId238"/>
        <a:stretch>
          <a:fillRect/>
        </a:stretch>
      </xdr:blipFill>
      <xdr:spPr>
        <a:xfrm>
          <a:off x="7534275" y="7013575"/>
          <a:ext cx="981075" cy="901700"/>
        </a:xfrm>
        <a:prstGeom prst="rect">
          <a:avLst/>
        </a:prstGeom>
      </xdr:spPr>
    </xdr:pic>
  </etc:cellImage>
  <etc:cellImage>
    <xdr:pic>
      <xdr:nvPicPr>
        <xdr:cNvPr id="377" name="ID_C9E4A71298A64DAFAAF846E059CEFBF1"/>
        <xdr:cNvPicPr>
          <a:picLocks noChangeAspect="1"/>
        </xdr:cNvPicPr>
      </xdr:nvPicPr>
      <xdr:blipFill>
        <a:blip r:embed="rId239"/>
        <a:stretch>
          <a:fillRect/>
        </a:stretch>
      </xdr:blipFill>
      <xdr:spPr>
        <a:xfrm>
          <a:off x="7781925" y="7830185"/>
          <a:ext cx="476250" cy="933450"/>
        </a:xfrm>
        <a:prstGeom prst="rect">
          <a:avLst/>
        </a:prstGeom>
      </xdr:spPr>
    </xdr:pic>
  </etc:cellImage>
  <etc:cellImage>
    <xdr:pic>
      <xdr:nvPicPr>
        <xdr:cNvPr id="378" name="ID_B38CC1AE1DFE40C1867421D88735EF77"/>
        <xdr:cNvPicPr>
          <a:picLocks noChangeAspect="1"/>
        </xdr:cNvPicPr>
      </xdr:nvPicPr>
      <xdr:blipFill>
        <a:blip r:embed="rId240"/>
        <a:stretch>
          <a:fillRect/>
        </a:stretch>
      </xdr:blipFill>
      <xdr:spPr>
        <a:xfrm>
          <a:off x="7534275" y="8734425"/>
          <a:ext cx="871220" cy="901700"/>
        </a:xfrm>
        <a:prstGeom prst="rect">
          <a:avLst/>
        </a:prstGeom>
      </xdr:spPr>
    </xdr:pic>
  </etc:cellImage>
  <etc:cellImage>
    <xdr:pic>
      <xdr:nvPicPr>
        <xdr:cNvPr id="379" name="ID_836636D3E29A4159B7F695D3E291D3A8"/>
        <xdr:cNvPicPr>
          <a:picLocks noChangeAspect="1"/>
        </xdr:cNvPicPr>
      </xdr:nvPicPr>
      <xdr:blipFill>
        <a:blip r:embed="rId241"/>
        <a:stretch>
          <a:fillRect/>
        </a:stretch>
      </xdr:blipFill>
      <xdr:spPr>
        <a:xfrm>
          <a:off x="7581900" y="9617710"/>
          <a:ext cx="904875" cy="833755"/>
        </a:xfrm>
        <a:prstGeom prst="rect">
          <a:avLst/>
        </a:prstGeom>
      </xdr:spPr>
    </xdr:pic>
  </etc:cellImage>
  <etc:cellImage>
    <xdr:pic>
      <xdr:nvPicPr>
        <xdr:cNvPr id="380" name="ID_B58F50F122D849B58F90694E26007BDA"/>
        <xdr:cNvPicPr>
          <a:picLocks noChangeAspect="1"/>
        </xdr:cNvPicPr>
      </xdr:nvPicPr>
      <xdr:blipFill>
        <a:blip r:embed="rId242"/>
        <a:stretch>
          <a:fillRect/>
        </a:stretch>
      </xdr:blipFill>
      <xdr:spPr>
        <a:xfrm>
          <a:off x="7610475" y="10483850"/>
          <a:ext cx="883920" cy="822960"/>
        </a:xfrm>
        <a:prstGeom prst="rect">
          <a:avLst/>
        </a:prstGeom>
      </xdr:spPr>
    </xdr:pic>
  </etc:cellImage>
  <etc:cellImage>
    <xdr:pic>
      <xdr:nvPicPr>
        <xdr:cNvPr id="381" name="ID_D4BC77F818AF430C8DF82AD2F5E76B55"/>
        <xdr:cNvPicPr>
          <a:picLocks noChangeAspect="1"/>
        </xdr:cNvPicPr>
      </xdr:nvPicPr>
      <xdr:blipFill>
        <a:blip r:embed="rId243"/>
        <a:stretch>
          <a:fillRect/>
        </a:stretch>
      </xdr:blipFill>
      <xdr:spPr>
        <a:xfrm>
          <a:off x="7677150" y="11439525"/>
          <a:ext cx="645795" cy="847090"/>
        </a:xfrm>
        <a:prstGeom prst="rect">
          <a:avLst/>
        </a:prstGeom>
      </xdr:spPr>
    </xdr:pic>
  </etc:cellImage>
  <etc:cellImage>
    <xdr:pic>
      <xdr:nvPicPr>
        <xdr:cNvPr id="382" name="ID_99C28DD4408042FC96B6DD9E8510504F"/>
        <xdr:cNvPicPr>
          <a:picLocks noChangeAspect="1"/>
        </xdr:cNvPicPr>
      </xdr:nvPicPr>
      <xdr:blipFill>
        <a:blip r:embed="rId244"/>
        <a:stretch>
          <a:fillRect/>
        </a:stretch>
      </xdr:blipFill>
      <xdr:spPr>
        <a:xfrm>
          <a:off x="7620000" y="12480925"/>
          <a:ext cx="786130" cy="560705"/>
        </a:xfrm>
        <a:prstGeom prst="rect">
          <a:avLst/>
        </a:prstGeom>
      </xdr:spPr>
    </xdr:pic>
  </etc:cellImage>
  <etc:cellImage>
    <xdr:pic>
      <xdr:nvPicPr>
        <xdr:cNvPr id="383" name="ID_8D026F696CD340D4B562DF97BADC0505"/>
        <xdr:cNvPicPr>
          <a:picLocks noChangeAspect="1"/>
        </xdr:cNvPicPr>
      </xdr:nvPicPr>
      <xdr:blipFill>
        <a:blip r:embed="rId245"/>
        <a:stretch>
          <a:fillRect/>
        </a:stretch>
      </xdr:blipFill>
      <xdr:spPr>
        <a:xfrm>
          <a:off x="7572375" y="13398500"/>
          <a:ext cx="950595" cy="718820"/>
        </a:xfrm>
        <a:prstGeom prst="rect">
          <a:avLst/>
        </a:prstGeom>
      </xdr:spPr>
    </xdr:pic>
  </etc:cellImage>
  <etc:cellImage>
    <xdr:pic>
      <xdr:nvPicPr>
        <xdr:cNvPr id="384" name="ID_A8444E2A3F3248EDA5FDA0E9481FBFDF"/>
        <xdr:cNvPicPr>
          <a:picLocks noChangeAspect="1"/>
        </xdr:cNvPicPr>
      </xdr:nvPicPr>
      <xdr:blipFill>
        <a:blip r:embed="rId246"/>
        <a:stretch>
          <a:fillRect/>
        </a:stretch>
      </xdr:blipFill>
      <xdr:spPr>
        <a:xfrm>
          <a:off x="7715250" y="14087475"/>
          <a:ext cx="530225" cy="657860"/>
        </a:xfrm>
        <a:prstGeom prst="rect">
          <a:avLst/>
        </a:prstGeom>
      </xdr:spPr>
    </xdr:pic>
  </etc:cellImage>
  <etc:cellImage>
    <xdr:pic>
      <xdr:nvPicPr>
        <xdr:cNvPr id="385" name="ID_716328A12AE24B2F9448C515C7078228"/>
        <xdr:cNvPicPr>
          <a:picLocks noChangeAspect="1"/>
        </xdr:cNvPicPr>
      </xdr:nvPicPr>
      <xdr:blipFill>
        <a:blip r:embed="rId247"/>
        <a:stretch>
          <a:fillRect/>
        </a:stretch>
      </xdr:blipFill>
      <xdr:spPr>
        <a:xfrm>
          <a:off x="7781925" y="14978380"/>
          <a:ext cx="457200" cy="619125"/>
        </a:xfrm>
        <a:prstGeom prst="rect">
          <a:avLst/>
        </a:prstGeom>
      </xdr:spPr>
    </xdr:pic>
  </etc:cellImage>
  <etc:cellImage>
    <xdr:pic>
      <xdr:nvPicPr>
        <xdr:cNvPr id="386" name="ID_08A7A5E5F4BE481DB3C77E7FF692CD7F"/>
        <xdr:cNvPicPr>
          <a:picLocks noChangeAspect="1"/>
        </xdr:cNvPicPr>
      </xdr:nvPicPr>
      <xdr:blipFill>
        <a:blip r:embed="rId248"/>
        <a:stretch>
          <a:fillRect/>
        </a:stretch>
      </xdr:blipFill>
      <xdr:spPr>
        <a:xfrm>
          <a:off x="7715250" y="15808325"/>
          <a:ext cx="645795" cy="865505"/>
        </a:xfrm>
        <a:prstGeom prst="rect">
          <a:avLst/>
        </a:prstGeom>
      </xdr:spPr>
    </xdr:pic>
  </etc:cellImage>
  <etc:cellImage>
    <xdr:pic>
      <xdr:nvPicPr>
        <xdr:cNvPr id="387" name="ID_AE28C82B89C340959924AA5681204A55"/>
        <xdr:cNvPicPr>
          <a:picLocks noChangeAspect="1"/>
        </xdr:cNvPicPr>
      </xdr:nvPicPr>
      <xdr:blipFill>
        <a:blip r:embed="rId249"/>
        <a:stretch>
          <a:fillRect/>
        </a:stretch>
      </xdr:blipFill>
      <xdr:spPr>
        <a:xfrm>
          <a:off x="7581900" y="16844010"/>
          <a:ext cx="942975" cy="731520"/>
        </a:xfrm>
        <a:prstGeom prst="rect">
          <a:avLst/>
        </a:prstGeom>
      </xdr:spPr>
    </xdr:pic>
  </etc:cellImage>
  <etc:cellImage>
    <xdr:pic>
      <xdr:nvPicPr>
        <xdr:cNvPr id="388" name="ID_836B131AE2E3460299F6206A2A28D1A0"/>
        <xdr:cNvPicPr>
          <a:picLocks noChangeAspect="1"/>
        </xdr:cNvPicPr>
      </xdr:nvPicPr>
      <xdr:blipFill>
        <a:blip r:embed="rId250"/>
        <a:stretch>
          <a:fillRect/>
        </a:stretch>
      </xdr:blipFill>
      <xdr:spPr>
        <a:xfrm>
          <a:off x="7524750" y="17633950"/>
          <a:ext cx="1054100" cy="908050"/>
        </a:xfrm>
        <a:prstGeom prst="rect">
          <a:avLst/>
        </a:prstGeom>
      </xdr:spPr>
    </xdr:pic>
  </etc:cellImage>
  <etc:cellImage>
    <xdr:pic>
      <xdr:nvPicPr>
        <xdr:cNvPr id="389" name="ID_FB8B85922D6247789DF1D6E9DFEA3CFE"/>
        <xdr:cNvPicPr>
          <a:picLocks noChangeAspect="1"/>
        </xdr:cNvPicPr>
      </xdr:nvPicPr>
      <xdr:blipFill>
        <a:blip r:embed="rId251"/>
        <a:stretch>
          <a:fillRect/>
        </a:stretch>
      </xdr:blipFill>
      <xdr:spPr>
        <a:xfrm>
          <a:off x="7486650" y="18456275"/>
          <a:ext cx="962025" cy="967105"/>
        </a:xfrm>
        <a:prstGeom prst="rect">
          <a:avLst/>
        </a:prstGeom>
      </xdr:spPr>
    </xdr:pic>
  </etc:cellImage>
  <etc:cellImage>
    <xdr:pic>
      <xdr:nvPicPr>
        <xdr:cNvPr id="390" name="ID_2E3DA7DC1779416C9E209C7552B9E801"/>
        <xdr:cNvPicPr>
          <a:picLocks noChangeAspect="1"/>
        </xdr:cNvPicPr>
      </xdr:nvPicPr>
      <xdr:blipFill>
        <a:blip r:embed="rId252"/>
        <a:stretch>
          <a:fillRect/>
        </a:stretch>
      </xdr:blipFill>
      <xdr:spPr>
        <a:xfrm>
          <a:off x="7562850" y="19367500"/>
          <a:ext cx="857250" cy="764540"/>
        </a:xfrm>
        <a:prstGeom prst="rect">
          <a:avLst/>
        </a:prstGeom>
      </xdr:spPr>
    </xdr:pic>
  </etc:cellImage>
  <etc:cellImage>
    <xdr:pic>
      <xdr:nvPicPr>
        <xdr:cNvPr id="391" name="ID_B0DCFB4CBFA44D399224E52C3F54678B"/>
        <xdr:cNvPicPr>
          <a:picLocks noChangeAspect="1"/>
        </xdr:cNvPicPr>
      </xdr:nvPicPr>
      <xdr:blipFill>
        <a:blip r:embed="rId253"/>
        <a:stretch>
          <a:fillRect/>
        </a:stretch>
      </xdr:blipFill>
      <xdr:spPr>
        <a:xfrm>
          <a:off x="7639050" y="20238085"/>
          <a:ext cx="742950" cy="720725"/>
        </a:xfrm>
        <a:prstGeom prst="rect">
          <a:avLst/>
        </a:prstGeom>
      </xdr:spPr>
    </xdr:pic>
  </etc:cellImage>
  <etc:cellImage>
    <xdr:pic>
      <xdr:nvPicPr>
        <xdr:cNvPr id="392" name="ID_BAB0FE6ABA2846738DC5E85DCDA2A115"/>
        <xdr:cNvPicPr>
          <a:picLocks noChangeAspect="1"/>
        </xdr:cNvPicPr>
      </xdr:nvPicPr>
      <xdr:blipFill>
        <a:blip r:embed="rId254"/>
        <a:stretch>
          <a:fillRect/>
        </a:stretch>
      </xdr:blipFill>
      <xdr:spPr>
        <a:xfrm>
          <a:off x="7534275" y="21256625"/>
          <a:ext cx="1036320" cy="822960"/>
        </a:xfrm>
        <a:prstGeom prst="rect">
          <a:avLst/>
        </a:prstGeom>
      </xdr:spPr>
    </xdr:pic>
  </etc:cellImage>
  <etc:cellImage>
    <xdr:pic>
      <xdr:nvPicPr>
        <xdr:cNvPr id="393" name="ID_EEB0F048E1F14EE5B159493867BFFE0F"/>
        <xdr:cNvPicPr>
          <a:picLocks noChangeAspect="1"/>
        </xdr:cNvPicPr>
      </xdr:nvPicPr>
      <xdr:blipFill>
        <a:blip r:embed="rId255"/>
        <a:stretch>
          <a:fillRect/>
        </a:stretch>
      </xdr:blipFill>
      <xdr:spPr>
        <a:xfrm>
          <a:off x="7505700" y="22240875"/>
          <a:ext cx="1090930" cy="523875"/>
        </a:xfrm>
        <a:prstGeom prst="rect">
          <a:avLst/>
        </a:prstGeom>
      </xdr:spPr>
    </xdr:pic>
  </etc:cellImage>
  <etc:cellImage>
    <xdr:pic>
      <xdr:nvPicPr>
        <xdr:cNvPr id="394" name="ID_28CAF30B47C14EC1B4FC0787CEF3CBF1"/>
        <xdr:cNvPicPr>
          <a:picLocks noChangeAspect="1"/>
        </xdr:cNvPicPr>
      </xdr:nvPicPr>
      <xdr:blipFill>
        <a:blip r:embed="rId256"/>
        <a:stretch>
          <a:fillRect/>
        </a:stretch>
      </xdr:blipFill>
      <xdr:spPr>
        <a:xfrm>
          <a:off x="7705725" y="22981285"/>
          <a:ext cx="638175" cy="827405"/>
        </a:xfrm>
        <a:prstGeom prst="rect">
          <a:avLst/>
        </a:prstGeom>
      </xdr:spPr>
    </xdr:pic>
  </etc:cellImage>
  <etc:cellImage>
    <xdr:pic>
      <xdr:nvPicPr>
        <xdr:cNvPr id="395" name="ID_6D7F8E83630B498591ADFEB0A6618AFD"/>
        <xdr:cNvPicPr>
          <a:picLocks noChangeAspect="1"/>
        </xdr:cNvPicPr>
      </xdr:nvPicPr>
      <xdr:blipFill>
        <a:blip r:embed="rId257"/>
        <a:stretch>
          <a:fillRect/>
        </a:stretch>
      </xdr:blipFill>
      <xdr:spPr>
        <a:xfrm>
          <a:off x="7572375" y="23828375"/>
          <a:ext cx="981075" cy="743585"/>
        </a:xfrm>
        <a:prstGeom prst="rect">
          <a:avLst/>
        </a:prstGeom>
      </xdr:spPr>
    </xdr:pic>
  </etc:cellImage>
  <etc:cellImage>
    <xdr:pic>
      <xdr:nvPicPr>
        <xdr:cNvPr id="396" name="ID_AC6E5BAF032F4665920A379A3B686365"/>
        <xdr:cNvPicPr>
          <a:picLocks noChangeAspect="1"/>
        </xdr:cNvPicPr>
      </xdr:nvPicPr>
      <xdr:blipFill>
        <a:blip r:embed="rId258"/>
        <a:stretch>
          <a:fillRect/>
        </a:stretch>
      </xdr:blipFill>
      <xdr:spPr>
        <a:xfrm>
          <a:off x="7534275" y="24784050"/>
          <a:ext cx="1084580" cy="816610"/>
        </a:xfrm>
        <a:prstGeom prst="rect">
          <a:avLst/>
        </a:prstGeom>
      </xdr:spPr>
    </xdr:pic>
  </etc:cellImage>
  <etc:cellImage>
    <xdr:pic>
      <xdr:nvPicPr>
        <xdr:cNvPr id="397" name="ID_DBC260B3119E4E5C8F1EF4DA0046E6A4"/>
        <xdr:cNvPicPr>
          <a:picLocks noChangeAspect="1"/>
        </xdr:cNvPicPr>
      </xdr:nvPicPr>
      <xdr:blipFill>
        <a:blip r:embed="rId259"/>
        <a:stretch>
          <a:fillRect/>
        </a:stretch>
      </xdr:blipFill>
      <xdr:spPr>
        <a:xfrm>
          <a:off x="7553325" y="25736550"/>
          <a:ext cx="1038225" cy="647700"/>
        </a:xfrm>
        <a:prstGeom prst="rect">
          <a:avLst/>
        </a:prstGeom>
      </xdr:spPr>
    </xdr:pic>
  </etc:cellImage>
  <etc:cellImage>
    <xdr:pic>
      <xdr:nvPicPr>
        <xdr:cNvPr id="398" name="ID_588A4088A28449D2930801079EF9F6FA"/>
        <xdr:cNvPicPr>
          <a:picLocks noChangeAspect="1"/>
        </xdr:cNvPicPr>
      </xdr:nvPicPr>
      <xdr:blipFill>
        <a:blip r:embed="rId260"/>
        <a:stretch>
          <a:fillRect/>
        </a:stretch>
      </xdr:blipFill>
      <xdr:spPr>
        <a:xfrm>
          <a:off x="7839075" y="26485850"/>
          <a:ext cx="286385" cy="908050"/>
        </a:xfrm>
        <a:prstGeom prst="rect">
          <a:avLst/>
        </a:prstGeom>
      </xdr:spPr>
    </xdr:pic>
  </etc:cellImage>
  <etc:cellImage>
    <xdr:pic>
      <xdr:nvPicPr>
        <xdr:cNvPr id="399" name="ID_DF2997E22ACB494AB9084B00CF23DE17"/>
        <xdr:cNvPicPr>
          <a:picLocks noChangeAspect="1"/>
        </xdr:cNvPicPr>
      </xdr:nvPicPr>
      <xdr:blipFill>
        <a:blip r:embed="rId261"/>
        <a:stretch>
          <a:fillRect/>
        </a:stretch>
      </xdr:blipFill>
      <xdr:spPr>
        <a:xfrm>
          <a:off x="7724775" y="27479625"/>
          <a:ext cx="603250" cy="840740"/>
        </a:xfrm>
        <a:prstGeom prst="rect">
          <a:avLst/>
        </a:prstGeom>
      </xdr:spPr>
    </xdr:pic>
  </etc:cellImage>
  <etc:cellImage>
    <xdr:pic>
      <xdr:nvPicPr>
        <xdr:cNvPr id="400" name="ID_AAF4411288E0402BA217F3B1EED89D3E"/>
        <xdr:cNvPicPr>
          <a:picLocks noChangeAspect="1"/>
        </xdr:cNvPicPr>
      </xdr:nvPicPr>
      <xdr:blipFill>
        <a:blip r:embed="rId262"/>
        <a:stretch>
          <a:fillRect/>
        </a:stretch>
      </xdr:blipFill>
      <xdr:spPr>
        <a:xfrm>
          <a:off x="7562850" y="28559125"/>
          <a:ext cx="895985" cy="200025"/>
        </a:xfrm>
        <a:prstGeom prst="rect">
          <a:avLst/>
        </a:prstGeom>
      </xdr:spPr>
    </xdr:pic>
  </etc:cellImage>
  <etc:cellImage>
    <xdr:pic>
      <xdr:nvPicPr>
        <xdr:cNvPr id="401" name="ID_D801CBEE647D428380E519930CE1C977"/>
        <xdr:cNvPicPr>
          <a:picLocks noChangeAspect="1"/>
        </xdr:cNvPicPr>
      </xdr:nvPicPr>
      <xdr:blipFill>
        <a:blip r:embed="rId263"/>
        <a:stretch>
          <a:fillRect/>
        </a:stretch>
      </xdr:blipFill>
      <xdr:spPr>
        <a:xfrm>
          <a:off x="7553325" y="29305250"/>
          <a:ext cx="944880" cy="713105"/>
        </a:xfrm>
        <a:prstGeom prst="rect">
          <a:avLst/>
        </a:prstGeom>
      </xdr:spPr>
    </xdr:pic>
  </etc:cellImage>
  <etc:cellImage>
    <xdr:pic>
      <xdr:nvPicPr>
        <xdr:cNvPr id="402" name="ID_8CD9CCE2E7D44A13A2FF574365F1D47B"/>
        <xdr:cNvPicPr>
          <a:picLocks noChangeAspect="1"/>
        </xdr:cNvPicPr>
      </xdr:nvPicPr>
      <xdr:blipFill>
        <a:blip r:embed="rId264"/>
        <a:stretch>
          <a:fillRect/>
        </a:stretch>
      </xdr:blipFill>
      <xdr:spPr>
        <a:xfrm>
          <a:off x="7553325" y="30156150"/>
          <a:ext cx="932180" cy="554355"/>
        </a:xfrm>
        <a:prstGeom prst="rect">
          <a:avLst/>
        </a:prstGeom>
      </xdr:spPr>
    </xdr:pic>
  </etc:cellImage>
  <etc:cellImage>
    <xdr:pic>
      <xdr:nvPicPr>
        <xdr:cNvPr id="403" name="ID_916B711E643F411C8837D784ADF15111"/>
        <xdr:cNvPicPr>
          <a:picLocks noChangeAspect="1"/>
        </xdr:cNvPicPr>
      </xdr:nvPicPr>
      <xdr:blipFill>
        <a:blip r:embed="rId265"/>
        <a:stretch>
          <a:fillRect/>
        </a:stretch>
      </xdr:blipFill>
      <xdr:spPr>
        <a:xfrm>
          <a:off x="7810500" y="30968950"/>
          <a:ext cx="383540" cy="792480"/>
        </a:xfrm>
        <a:prstGeom prst="rect">
          <a:avLst/>
        </a:prstGeom>
      </xdr:spPr>
    </xdr:pic>
  </etc:cellImage>
  <etc:cellImage>
    <xdr:pic>
      <xdr:nvPicPr>
        <xdr:cNvPr id="404" name="ID_018A3DBE40694E51BB87DEA062BF8305"/>
        <xdr:cNvPicPr>
          <a:picLocks noChangeAspect="1"/>
        </xdr:cNvPicPr>
      </xdr:nvPicPr>
      <xdr:blipFill>
        <a:blip r:embed="rId266"/>
        <a:stretch>
          <a:fillRect/>
        </a:stretch>
      </xdr:blipFill>
      <xdr:spPr>
        <a:xfrm>
          <a:off x="7505700" y="32028765"/>
          <a:ext cx="1123950" cy="521335"/>
        </a:xfrm>
        <a:prstGeom prst="rect">
          <a:avLst/>
        </a:prstGeom>
      </xdr:spPr>
    </xdr:pic>
  </etc:cellImage>
  <etc:cellImage>
    <xdr:pic>
      <xdr:nvPicPr>
        <xdr:cNvPr id="405" name="ID_D66FFFE41CA041BCB8EF16D5D5AD4402"/>
        <xdr:cNvPicPr>
          <a:picLocks noChangeAspect="1"/>
        </xdr:cNvPicPr>
      </xdr:nvPicPr>
      <xdr:blipFill>
        <a:blip r:embed="rId267"/>
        <a:stretch>
          <a:fillRect/>
        </a:stretch>
      </xdr:blipFill>
      <xdr:spPr>
        <a:xfrm>
          <a:off x="7610475" y="32701230"/>
          <a:ext cx="819150" cy="598805"/>
        </a:xfrm>
        <a:prstGeom prst="rect">
          <a:avLst/>
        </a:prstGeom>
      </xdr:spPr>
    </xdr:pic>
  </etc:cellImage>
  <etc:cellImage>
    <xdr:pic>
      <xdr:nvPicPr>
        <xdr:cNvPr id="406" name="ID_8D5963D4E3DD48C4A5E44CC1AC29A2C1"/>
        <xdr:cNvPicPr>
          <a:picLocks noChangeAspect="1"/>
        </xdr:cNvPicPr>
      </xdr:nvPicPr>
      <xdr:blipFill>
        <a:blip r:embed="rId268"/>
        <a:stretch>
          <a:fillRect/>
        </a:stretch>
      </xdr:blipFill>
      <xdr:spPr>
        <a:xfrm>
          <a:off x="7620000" y="33682940"/>
          <a:ext cx="809625" cy="568325"/>
        </a:xfrm>
        <a:prstGeom prst="rect">
          <a:avLst/>
        </a:prstGeom>
      </xdr:spPr>
    </xdr:pic>
  </etc:cellImage>
  <etc:cellImage>
    <xdr:pic>
      <xdr:nvPicPr>
        <xdr:cNvPr id="407" name="ID_07EFDCA883A14CE087B1F2D255E6F9DC"/>
        <xdr:cNvPicPr>
          <a:picLocks noChangeAspect="1"/>
        </xdr:cNvPicPr>
      </xdr:nvPicPr>
      <xdr:blipFill>
        <a:blip r:embed="rId269"/>
        <a:stretch>
          <a:fillRect/>
        </a:stretch>
      </xdr:blipFill>
      <xdr:spPr>
        <a:xfrm>
          <a:off x="7686675" y="34467800"/>
          <a:ext cx="835025" cy="664210"/>
        </a:xfrm>
        <a:prstGeom prst="rect">
          <a:avLst/>
        </a:prstGeom>
      </xdr:spPr>
    </xdr:pic>
  </etc:cellImage>
  <etc:cellImage>
    <xdr:pic>
      <xdr:nvPicPr>
        <xdr:cNvPr id="408" name="ID_2E72343BC6F14FE4905548152E473529"/>
        <xdr:cNvPicPr>
          <a:picLocks noChangeAspect="1"/>
        </xdr:cNvPicPr>
      </xdr:nvPicPr>
      <xdr:blipFill>
        <a:blip r:embed="rId270"/>
        <a:stretch>
          <a:fillRect/>
        </a:stretch>
      </xdr:blipFill>
      <xdr:spPr>
        <a:xfrm>
          <a:off x="7543800" y="35383470"/>
          <a:ext cx="1028700" cy="763905"/>
        </a:xfrm>
        <a:prstGeom prst="rect">
          <a:avLst/>
        </a:prstGeom>
      </xdr:spPr>
    </xdr:pic>
  </etc:cellImage>
  <etc:cellImage>
    <xdr:pic>
      <xdr:nvPicPr>
        <xdr:cNvPr id="409" name="ID_029617EEC5EF4ED38E7C5C736FBBD632"/>
        <xdr:cNvPicPr>
          <a:picLocks noChangeAspect="1"/>
        </xdr:cNvPicPr>
      </xdr:nvPicPr>
      <xdr:blipFill>
        <a:blip r:embed="rId271"/>
        <a:stretch>
          <a:fillRect/>
        </a:stretch>
      </xdr:blipFill>
      <xdr:spPr>
        <a:xfrm>
          <a:off x="7610475" y="39792275"/>
          <a:ext cx="828675" cy="828675"/>
        </a:xfrm>
        <a:prstGeom prst="rect">
          <a:avLst/>
        </a:prstGeom>
      </xdr:spPr>
    </xdr:pic>
  </etc:cellImage>
  <etc:cellImage>
    <xdr:pic>
      <xdr:nvPicPr>
        <xdr:cNvPr id="410" name="ID_B0DD07EF228C43A493D4AB3F8B3DC41D"/>
        <xdr:cNvPicPr>
          <a:picLocks noChangeAspect="1"/>
        </xdr:cNvPicPr>
      </xdr:nvPicPr>
      <xdr:blipFill>
        <a:blip r:embed="rId272"/>
        <a:stretch>
          <a:fillRect/>
        </a:stretch>
      </xdr:blipFill>
      <xdr:spPr>
        <a:xfrm>
          <a:off x="7543800" y="40900350"/>
          <a:ext cx="1036320" cy="511810"/>
        </a:xfrm>
        <a:prstGeom prst="rect">
          <a:avLst/>
        </a:prstGeom>
      </xdr:spPr>
    </xdr:pic>
  </etc:cellImage>
  <etc:cellImage>
    <xdr:pic>
      <xdr:nvPicPr>
        <xdr:cNvPr id="411" name="ID_5BBA28854764414C98A7E7001ABEA4BD"/>
        <xdr:cNvPicPr>
          <a:picLocks noChangeAspect="1" noChangeArrowheads="1"/>
        </xdr:cNvPicPr>
      </xdr:nvPicPr>
      <xdr:blipFill>
        <a:blip r:embed="rId273" cstate="print">
          <a:extLst>
            <a:ext uri="{28A0092B-C50C-407E-A947-70E740481C1C}">
              <a14:useLocalDpi xmlns:a14="http://schemas.microsoft.com/office/drawing/2010/main" val="0"/>
            </a:ext>
          </a:extLst>
        </a:blip>
        <a:srcRect/>
        <a:stretch>
          <a:fillRect/>
        </a:stretch>
      </xdr:blipFill>
      <xdr:spPr>
        <a:xfrm>
          <a:off x="7572375" y="41588690"/>
          <a:ext cx="923925" cy="92392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12" name="ID_6616DE8FAFA047FB918527F15A5FA1EB"/>
        <xdr:cNvPicPr>
          <a:picLocks noChangeAspect="1" noChangeArrowheads="1"/>
        </xdr:cNvPicPr>
      </xdr:nvPicPr>
      <xdr:blipFill>
        <a:blip r:embed="rId274" cstate="print">
          <a:extLst>
            <a:ext uri="{28A0092B-C50C-407E-A947-70E740481C1C}">
              <a14:useLocalDpi xmlns:a14="http://schemas.microsoft.com/office/drawing/2010/main" val="0"/>
            </a:ext>
          </a:extLst>
        </a:blip>
        <a:srcRect/>
        <a:stretch>
          <a:fillRect/>
        </a:stretch>
      </xdr:blipFill>
      <xdr:spPr>
        <a:xfrm>
          <a:off x="7750175" y="42506265"/>
          <a:ext cx="622300" cy="82867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14" name="ID_60252F6C9756470CAC95471475848129"/>
        <xdr:cNvPicPr>
          <a:picLocks noChangeAspect="1" noChangeArrowheads="1"/>
        </xdr:cNvPicPr>
      </xdr:nvPicPr>
      <xdr:blipFill>
        <a:blip r:embed="rId275" cstate="print">
          <a:extLst>
            <a:ext uri="{28A0092B-C50C-407E-A947-70E740481C1C}">
              <a14:useLocalDpi xmlns:a14="http://schemas.microsoft.com/office/drawing/2010/main" val="0"/>
            </a:ext>
          </a:extLst>
        </a:blip>
        <a:srcRect/>
        <a:stretch>
          <a:fillRect/>
        </a:stretch>
      </xdr:blipFill>
      <xdr:spPr>
        <a:xfrm>
          <a:off x="7562850" y="44303950"/>
          <a:ext cx="1068070" cy="142240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15" name="ID_4A7A215A2EC94EC78CED9EC0AC3DA219"/>
        <xdr:cNvPicPr>
          <a:picLocks noChangeAspect="1"/>
        </xdr:cNvPicPr>
      </xdr:nvPicPr>
      <xdr:blipFill>
        <a:blip r:embed="rId276"/>
        <a:stretch>
          <a:fillRect/>
        </a:stretch>
      </xdr:blipFill>
      <xdr:spPr>
        <a:xfrm>
          <a:off x="7534275" y="46999525"/>
          <a:ext cx="952500" cy="561975"/>
        </a:xfrm>
        <a:prstGeom prst="rect">
          <a:avLst/>
        </a:prstGeom>
      </xdr:spPr>
    </xdr:pic>
  </etc:cellImage>
  <etc:cellImage>
    <xdr:pic>
      <xdr:nvPicPr>
        <xdr:cNvPr id="416" name="ID_64D93F69829D426689B864FD02C8789B"/>
        <xdr:cNvPicPr>
          <a:picLocks noChangeAspect="1"/>
        </xdr:cNvPicPr>
      </xdr:nvPicPr>
      <xdr:blipFill>
        <a:blip r:embed="rId277"/>
        <a:stretch>
          <a:fillRect/>
        </a:stretch>
      </xdr:blipFill>
      <xdr:spPr>
        <a:xfrm>
          <a:off x="7781925" y="47872015"/>
          <a:ext cx="504825" cy="759460"/>
        </a:xfrm>
        <a:prstGeom prst="rect">
          <a:avLst/>
        </a:prstGeom>
      </xdr:spPr>
    </xdr:pic>
  </etc:cellImage>
  <etc:cellImage>
    <xdr:pic>
      <xdr:nvPicPr>
        <xdr:cNvPr id="417" name="ID_1DF2A332030040448EA50E02DA7E4244"/>
        <xdr:cNvPicPr>
          <a:picLocks noChangeAspect="1"/>
        </xdr:cNvPicPr>
      </xdr:nvPicPr>
      <xdr:blipFill>
        <a:blip r:embed="rId278"/>
        <a:stretch>
          <a:fillRect/>
        </a:stretch>
      </xdr:blipFill>
      <xdr:spPr>
        <a:xfrm>
          <a:off x="7591425" y="48928020"/>
          <a:ext cx="923925" cy="669290"/>
        </a:xfrm>
        <a:prstGeom prst="rect">
          <a:avLst/>
        </a:prstGeom>
      </xdr:spPr>
    </xdr:pic>
  </etc:cellImage>
  <etc:cellImage>
    <xdr:pic>
      <xdr:nvPicPr>
        <xdr:cNvPr id="418" name="ID_A2FBEC8123FC4B70A670C001235CB39E"/>
        <xdr:cNvPicPr>
          <a:picLocks noChangeAspect="1"/>
        </xdr:cNvPicPr>
      </xdr:nvPicPr>
      <xdr:blipFill>
        <a:blip r:embed="rId279"/>
        <a:stretch>
          <a:fillRect/>
        </a:stretch>
      </xdr:blipFill>
      <xdr:spPr>
        <a:xfrm>
          <a:off x="7600950" y="49695100"/>
          <a:ext cx="737235" cy="877570"/>
        </a:xfrm>
        <a:prstGeom prst="rect">
          <a:avLst/>
        </a:prstGeom>
      </xdr:spPr>
    </xdr:pic>
  </etc:cellImage>
  <etc:cellImage>
    <xdr:pic>
      <xdr:nvPicPr>
        <xdr:cNvPr id="419" name="ID_8D980B6FD7774C8D9597722EB0CBEF24"/>
        <xdr:cNvPicPr>
          <a:picLocks noChangeAspect="1"/>
        </xdr:cNvPicPr>
      </xdr:nvPicPr>
      <xdr:blipFill>
        <a:blip r:embed="rId280"/>
        <a:stretch>
          <a:fillRect/>
        </a:stretch>
      </xdr:blipFill>
      <xdr:spPr>
        <a:xfrm>
          <a:off x="7715250" y="50469800"/>
          <a:ext cx="444500" cy="853440"/>
        </a:xfrm>
        <a:prstGeom prst="rect">
          <a:avLst/>
        </a:prstGeom>
      </xdr:spPr>
    </xdr:pic>
  </etc:cellImage>
  <etc:cellImage>
    <xdr:pic>
      <xdr:nvPicPr>
        <xdr:cNvPr id="420" name="ID_F194DC1DCF204FB683E888A2CFFA1F16"/>
        <xdr:cNvPicPr>
          <a:picLocks noChangeAspect="1"/>
        </xdr:cNvPicPr>
      </xdr:nvPicPr>
      <xdr:blipFill>
        <a:blip r:embed="rId281"/>
        <a:stretch>
          <a:fillRect/>
        </a:stretch>
      </xdr:blipFill>
      <xdr:spPr>
        <a:xfrm>
          <a:off x="7772400" y="51396900"/>
          <a:ext cx="444500" cy="762000"/>
        </a:xfrm>
        <a:prstGeom prst="rect">
          <a:avLst/>
        </a:prstGeom>
      </xdr:spPr>
    </xdr:pic>
  </etc:cellImage>
  <etc:cellImage>
    <xdr:pic>
      <xdr:nvPicPr>
        <xdr:cNvPr id="421" name="ID_55E94F86018D4DD3BC426F072DFE50D1"/>
        <xdr:cNvPicPr>
          <a:picLocks noChangeAspect="1"/>
        </xdr:cNvPicPr>
      </xdr:nvPicPr>
      <xdr:blipFill>
        <a:blip r:embed="rId282"/>
        <a:stretch>
          <a:fillRect/>
        </a:stretch>
      </xdr:blipFill>
      <xdr:spPr>
        <a:xfrm>
          <a:off x="7524750" y="52503070"/>
          <a:ext cx="1085850" cy="535305"/>
        </a:xfrm>
        <a:prstGeom prst="rect">
          <a:avLst/>
        </a:prstGeom>
      </xdr:spPr>
    </xdr:pic>
  </etc:cellImage>
  <etc:cellImage>
    <xdr:pic>
      <xdr:nvPicPr>
        <xdr:cNvPr id="422" name="ID_C661BDB37B7E478D80E0E594449825CF"/>
        <xdr:cNvPicPr>
          <a:picLocks noChangeAspect="1"/>
        </xdr:cNvPicPr>
      </xdr:nvPicPr>
      <xdr:blipFill>
        <a:blip r:embed="rId283"/>
        <a:stretch>
          <a:fillRect/>
        </a:stretch>
      </xdr:blipFill>
      <xdr:spPr>
        <a:xfrm>
          <a:off x="7629525" y="53193315"/>
          <a:ext cx="695325" cy="699770"/>
        </a:xfrm>
        <a:prstGeom prst="rect">
          <a:avLst/>
        </a:prstGeom>
      </xdr:spPr>
    </xdr:pic>
  </etc:cellImage>
  <etc:cellImage>
    <xdr:pic>
      <xdr:nvPicPr>
        <xdr:cNvPr id="423" name="ID_1D0A5D4D77F54877836755CEFE6477B4"/>
        <xdr:cNvPicPr>
          <a:picLocks noChangeAspect="1"/>
        </xdr:cNvPicPr>
      </xdr:nvPicPr>
      <xdr:blipFill>
        <a:blip r:embed="rId284"/>
        <a:stretch>
          <a:fillRect/>
        </a:stretch>
      </xdr:blipFill>
      <xdr:spPr>
        <a:xfrm>
          <a:off x="7553325" y="54164865"/>
          <a:ext cx="933450" cy="702310"/>
        </a:xfrm>
        <a:prstGeom prst="rect">
          <a:avLst/>
        </a:prstGeom>
      </xdr:spPr>
    </xdr:pic>
  </etc:cellImage>
  <etc:cellImage>
    <xdr:pic>
      <xdr:nvPicPr>
        <xdr:cNvPr id="424" name="ID_CE08C0F7EF0B4C509522CFD5CFDDFDE1"/>
        <xdr:cNvPicPr>
          <a:picLocks noChangeAspect="1"/>
        </xdr:cNvPicPr>
      </xdr:nvPicPr>
      <xdr:blipFill>
        <a:blip r:embed="rId285"/>
        <a:stretch>
          <a:fillRect/>
        </a:stretch>
      </xdr:blipFill>
      <xdr:spPr>
        <a:xfrm>
          <a:off x="7620000" y="54939565"/>
          <a:ext cx="742950" cy="785495"/>
        </a:xfrm>
        <a:prstGeom prst="rect">
          <a:avLst/>
        </a:prstGeom>
      </xdr:spPr>
    </xdr:pic>
  </etc:cellImage>
  <etc:cellImage>
    <xdr:pic>
      <xdr:nvPicPr>
        <xdr:cNvPr id="425" name="ID_82AE9272116E4CC48CDE7B9EB2F77CD0"/>
        <xdr:cNvPicPr>
          <a:picLocks noChangeAspect="1"/>
        </xdr:cNvPicPr>
      </xdr:nvPicPr>
      <xdr:blipFill>
        <a:blip r:embed="rId286"/>
        <a:stretch>
          <a:fillRect/>
        </a:stretch>
      </xdr:blipFill>
      <xdr:spPr>
        <a:xfrm>
          <a:off x="7591425" y="56057800"/>
          <a:ext cx="914400" cy="515620"/>
        </a:xfrm>
        <a:prstGeom prst="rect">
          <a:avLst/>
        </a:prstGeom>
      </xdr:spPr>
    </xdr:pic>
  </etc:cellImage>
  <etc:cellImage>
    <xdr:pic>
      <xdr:nvPicPr>
        <xdr:cNvPr id="426" name="ID_C3B34DFC6560492A99133DE5AE1A6EEF"/>
        <xdr:cNvPicPr>
          <a:picLocks noChangeAspect="1"/>
        </xdr:cNvPicPr>
      </xdr:nvPicPr>
      <xdr:blipFill>
        <a:blip r:embed="rId287"/>
        <a:stretch>
          <a:fillRect/>
        </a:stretch>
      </xdr:blipFill>
      <xdr:spPr>
        <a:xfrm>
          <a:off x="7534275" y="56812815"/>
          <a:ext cx="1038225" cy="496570"/>
        </a:xfrm>
        <a:prstGeom prst="rect">
          <a:avLst/>
        </a:prstGeom>
      </xdr:spPr>
    </xdr:pic>
  </etc:cellImage>
  <etc:cellImage>
    <xdr:pic>
      <xdr:nvPicPr>
        <xdr:cNvPr id="427" name="ID_1B1337ED23AD4F61B1DBAC653F1C218D"/>
        <xdr:cNvPicPr>
          <a:picLocks noChangeAspect="1"/>
        </xdr:cNvPicPr>
      </xdr:nvPicPr>
      <xdr:blipFill>
        <a:blip r:embed="rId288"/>
        <a:stretch>
          <a:fillRect/>
        </a:stretch>
      </xdr:blipFill>
      <xdr:spPr>
        <a:xfrm>
          <a:off x="7667625" y="57600850"/>
          <a:ext cx="627380" cy="792480"/>
        </a:xfrm>
        <a:prstGeom prst="rect">
          <a:avLst/>
        </a:prstGeom>
      </xdr:spPr>
    </xdr:pic>
  </etc:cellImage>
  <etc:cellImage>
    <xdr:pic>
      <xdr:nvPicPr>
        <xdr:cNvPr id="428" name="ID_4EA9190D23DE4BB4B44F6DD49518E178"/>
        <xdr:cNvPicPr>
          <a:picLocks noChangeAspect="1"/>
        </xdr:cNvPicPr>
      </xdr:nvPicPr>
      <xdr:blipFill>
        <a:blip r:embed="rId289"/>
        <a:stretch>
          <a:fillRect/>
        </a:stretch>
      </xdr:blipFill>
      <xdr:spPr>
        <a:xfrm>
          <a:off x="7753350" y="58566050"/>
          <a:ext cx="548640" cy="743585"/>
        </a:xfrm>
        <a:prstGeom prst="rect">
          <a:avLst/>
        </a:prstGeom>
      </xdr:spPr>
    </xdr:pic>
  </etc:cellImage>
  <etc:cellImage>
    <xdr:pic>
      <xdr:nvPicPr>
        <xdr:cNvPr id="429" name="ID_804E3DDEF7E84B99AFF32AE4919298DF"/>
        <xdr:cNvPicPr>
          <a:picLocks noChangeAspect="1"/>
        </xdr:cNvPicPr>
      </xdr:nvPicPr>
      <xdr:blipFill>
        <a:blip r:embed="rId290"/>
        <a:stretch>
          <a:fillRect/>
        </a:stretch>
      </xdr:blipFill>
      <xdr:spPr>
        <a:xfrm>
          <a:off x="7724775" y="59378850"/>
          <a:ext cx="548640" cy="847090"/>
        </a:xfrm>
        <a:prstGeom prst="rect">
          <a:avLst/>
        </a:prstGeom>
      </xdr:spPr>
    </xdr:pic>
  </etc:cellImage>
  <etc:cellImage>
    <xdr:pic>
      <xdr:nvPicPr>
        <xdr:cNvPr id="430" name="ID_C1BFEDA83AF64737B78FA39F37946145"/>
        <xdr:cNvPicPr>
          <a:picLocks noChangeAspect="1"/>
        </xdr:cNvPicPr>
      </xdr:nvPicPr>
      <xdr:blipFill>
        <a:blip r:embed="rId291"/>
        <a:stretch>
          <a:fillRect/>
        </a:stretch>
      </xdr:blipFill>
      <xdr:spPr>
        <a:xfrm>
          <a:off x="7896225" y="60296425"/>
          <a:ext cx="225425" cy="1011555"/>
        </a:xfrm>
        <a:prstGeom prst="rect">
          <a:avLst/>
        </a:prstGeom>
      </xdr:spPr>
    </xdr:pic>
  </etc:cellImage>
  <etc:cellImage>
    <xdr:pic>
      <xdr:nvPicPr>
        <xdr:cNvPr id="431" name="ID_8C28D97C3BF744F191C279111CF1720D"/>
        <xdr:cNvPicPr>
          <a:picLocks noChangeAspect="1"/>
        </xdr:cNvPicPr>
      </xdr:nvPicPr>
      <xdr:blipFill>
        <a:blip r:embed="rId292"/>
        <a:stretch>
          <a:fillRect/>
        </a:stretch>
      </xdr:blipFill>
      <xdr:spPr>
        <a:xfrm>
          <a:off x="7667625" y="61294645"/>
          <a:ext cx="828675" cy="575945"/>
        </a:xfrm>
        <a:prstGeom prst="rect">
          <a:avLst/>
        </a:prstGeom>
      </xdr:spPr>
    </xdr:pic>
  </etc:cellImage>
  <etc:cellImage>
    <xdr:pic>
      <xdr:nvPicPr>
        <xdr:cNvPr id="432" name="ID_4AF4DC0FDF4240FF94492CF22DF184AE"/>
        <xdr:cNvPicPr>
          <a:picLocks noChangeAspect="1"/>
        </xdr:cNvPicPr>
      </xdr:nvPicPr>
      <xdr:blipFill>
        <a:blip r:embed="rId293"/>
        <a:stretch>
          <a:fillRect/>
        </a:stretch>
      </xdr:blipFill>
      <xdr:spPr>
        <a:xfrm>
          <a:off x="7600950" y="62093475"/>
          <a:ext cx="762635" cy="549275"/>
        </a:xfrm>
        <a:prstGeom prst="rect">
          <a:avLst/>
        </a:prstGeom>
      </xdr:spPr>
    </xdr:pic>
  </etc:cellImage>
  <etc:cellImage>
    <xdr:pic>
      <xdr:nvPicPr>
        <xdr:cNvPr id="433" name="ID_F8FDCA8A731946BEB722333C4F80BEDA"/>
        <xdr:cNvPicPr>
          <a:picLocks noChangeAspect="1"/>
        </xdr:cNvPicPr>
      </xdr:nvPicPr>
      <xdr:blipFill>
        <a:blip r:embed="rId294"/>
        <a:stretch>
          <a:fillRect/>
        </a:stretch>
      </xdr:blipFill>
      <xdr:spPr>
        <a:xfrm>
          <a:off x="7553325" y="63030735"/>
          <a:ext cx="895350" cy="800735"/>
        </a:xfrm>
        <a:prstGeom prst="rect">
          <a:avLst/>
        </a:prstGeom>
      </xdr:spPr>
    </xdr:pic>
  </etc:cellImage>
  <etc:cellImage>
    <xdr:pic>
      <xdr:nvPicPr>
        <xdr:cNvPr id="434" name="ID_5FCE5699A27C4396AF96CA76F8A9D185"/>
        <xdr:cNvPicPr>
          <a:picLocks noChangeAspect="1"/>
        </xdr:cNvPicPr>
      </xdr:nvPicPr>
      <xdr:blipFill>
        <a:blip r:embed="rId295"/>
        <a:stretch>
          <a:fillRect/>
        </a:stretch>
      </xdr:blipFill>
      <xdr:spPr>
        <a:xfrm>
          <a:off x="7762875" y="63848615"/>
          <a:ext cx="371475" cy="874395"/>
        </a:xfrm>
        <a:prstGeom prst="rect">
          <a:avLst/>
        </a:prstGeom>
      </xdr:spPr>
    </xdr:pic>
  </etc:cellImage>
  <etc:cellImage>
    <xdr:pic>
      <xdr:nvPicPr>
        <xdr:cNvPr id="435" name="ID_8FE4090A83984DE98DF9E42164F34478" descr="氧气瓶"/>
        <xdr:cNvPicPr>
          <a:picLocks noChangeAspect="1" noChangeArrowheads="1"/>
        </xdr:cNvPicPr>
      </xdr:nvPicPr>
      <xdr:blipFill>
        <a:blip r:embed="rId296" cstate="print">
          <a:extLst>
            <a:ext uri="{28A0092B-C50C-407E-A947-70E740481C1C}">
              <a14:useLocalDpi xmlns:a14="http://schemas.microsoft.com/office/drawing/2010/main" val="0"/>
            </a:ext>
          </a:extLst>
        </a:blip>
        <a:srcRect/>
        <a:stretch>
          <a:fillRect/>
        </a:stretch>
      </xdr:blipFill>
      <xdr:spPr>
        <a:xfrm>
          <a:off x="7848600" y="64693800"/>
          <a:ext cx="46228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436" name="ID_3632F209EF574FF496FAB2ADBB43F5F8" descr="pe手套"/>
        <xdr:cNvPicPr>
          <a:picLocks noChangeAspect="1" noChangeArrowheads="1"/>
        </xdr:cNvPicPr>
      </xdr:nvPicPr>
      <xdr:blipFill>
        <a:blip r:embed="rId297" cstate="print">
          <a:extLst>
            <a:ext uri="{28A0092B-C50C-407E-A947-70E740481C1C}">
              <a14:useLocalDpi xmlns:a14="http://schemas.microsoft.com/office/drawing/2010/main" val="0"/>
            </a:ext>
          </a:extLst>
        </a:blip>
        <a:srcRect/>
        <a:stretch>
          <a:fillRect/>
        </a:stretch>
      </xdr:blipFill>
      <xdr:spPr>
        <a:xfrm>
          <a:off x="7620000" y="65655190"/>
          <a:ext cx="819150" cy="613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437" name="ID_243F33EB08644841A115A259BC9A38F7"/>
        <xdr:cNvPicPr>
          <a:picLocks noChangeAspect="1" noChangeArrowheads="1"/>
        </xdr:cNvPicPr>
      </xdr:nvPicPr>
      <xdr:blipFill>
        <a:blip r:embed="rId298" cstate="print">
          <a:extLst>
            <a:ext uri="{28A0092B-C50C-407E-A947-70E740481C1C}">
              <a14:useLocalDpi xmlns:a14="http://schemas.microsoft.com/office/drawing/2010/main" val="0"/>
            </a:ext>
          </a:extLst>
        </a:blip>
        <a:srcRect/>
        <a:stretch>
          <a:fillRect/>
        </a:stretch>
      </xdr:blipFill>
      <xdr:spPr>
        <a:xfrm>
          <a:off x="7715250" y="66495930"/>
          <a:ext cx="619125" cy="59499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38" name="ID_05599D7E6E5645E894C93D87461327EC" descr="口罩"/>
        <xdr:cNvPicPr>
          <a:picLocks noChangeAspect="1" noChangeArrowheads="1"/>
        </xdr:cNvPicPr>
      </xdr:nvPicPr>
      <xdr:blipFill>
        <a:blip r:embed="rId299" cstate="print">
          <a:extLst>
            <a:ext uri="{28A0092B-C50C-407E-A947-70E740481C1C}">
              <a14:useLocalDpi xmlns:a14="http://schemas.microsoft.com/office/drawing/2010/main" val="0"/>
            </a:ext>
          </a:extLst>
        </a:blip>
        <a:srcRect/>
        <a:stretch>
          <a:fillRect/>
        </a:stretch>
      </xdr:blipFill>
      <xdr:spPr>
        <a:xfrm rot="16200000">
          <a:off x="7772400" y="67341115"/>
          <a:ext cx="542925" cy="715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439" name="ID_765E76E59E524823BC9232DCF73BE171" descr="凝胶"/>
        <xdr:cNvPicPr>
          <a:picLocks noChangeAspect="1" noChangeArrowheads="1"/>
        </xdr:cNvPicPr>
      </xdr:nvPicPr>
      <xdr:blipFill>
        <a:blip r:embed="rId300" cstate="print">
          <a:extLst>
            <a:ext uri="{28A0092B-C50C-407E-A947-70E740481C1C}">
              <a14:useLocalDpi xmlns:a14="http://schemas.microsoft.com/office/drawing/2010/main" val="0"/>
            </a:ext>
          </a:extLst>
        </a:blip>
        <a:srcRect/>
        <a:stretch>
          <a:fillRect/>
        </a:stretch>
      </xdr:blipFill>
      <xdr:spPr>
        <a:xfrm flipH="1">
          <a:off x="7772400" y="68297425"/>
          <a:ext cx="552450"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etc:cellImage>
  <etc:cellImage>
    <xdr:pic>
      <xdr:nvPicPr>
        <xdr:cNvPr id="440" name="ID_A69B0C61FF39426683D91771EC19F98A"/>
        <xdr:cNvPicPr>
          <a:picLocks noChangeAspect="1"/>
        </xdr:cNvPicPr>
      </xdr:nvPicPr>
      <xdr:blipFill>
        <a:blip r:embed="rId301"/>
        <a:stretch>
          <a:fillRect/>
        </a:stretch>
      </xdr:blipFill>
      <xdr:spPr>
        <a:xfrm>
          <a:off x="7581900" y="69272150"/>
          <a:ext cx="901700" cy="743585"/>
        </a:xfrm>
        <a:prstGeom prst="rect">
          <a:avLst/>
        </a:prstGeom>
      </xdr:spPr>
    </xdr:pic>
  </etc:cellImage>
  <etc:cellImage>
    <xdr:pic>
      <xdr:nvPicPr>
        <xdr:cNvPr id="441" name="ID_DBF21D2E220E4FB7876E2FCBC1D70777"/>
        <xdr:cNvPicPr>
          <a:picLocks noChangeAspect="1"/>
        </xdr:cNvPicPr>
      </xdr:nvPicPr>
      <xdr:blipFill>
        <a:blip r:embed="rId302"/>
        <a:stretch>
          <a:fillRect/>
        </a:stretch>
      </xdr:blipFill>
      <xdr:spPr>
        <a:xfrm>
          <a:off x="7667625" y="70083045"/>
          <a:ext cx="666750" cy="775970"/>
        </a:xfrm>
        <a:prstGeom prst="rect">
          <a:avLst/>
        </a:prstGeom>
      </xdr:spPr>
    </xdr:pic>
  </etc:cellImage>
  <etc:cellImage>
    <xdr:pic>
      <xdr:nvPicPr>
        <xdr:cNvPr id="442" name="ID_E41AF1EDD07A4E9B90A363032DD02076"/>
        <xdr:cNvPicPr>
          <a:picLocks noChangeAspect="1"/>
        </xdr:cNvPicPr>
      </xdr:nvPicPr>
      <xdr:blipFill>
        <a:blip r:embed="rId303"/>
        <a:stretch>
          <a:fillRect/>
        </a:stretch>
      </xdr:blipFill>
      <xdr:spPr>
        <a:xfrm>
          <a:off x="7534275" y="71224140"/>
          <a:ext cx="866775" cy="176530"/>
        </a:xfrm>
        <a:prstGeom prst="rect">
          <a:avLst/>
        </a:prstGeom>
      </xdr:spPr>
    </xdr:pic>
  </etc:cellImage>
  <etc:cellImage>
    <xdr:pic>
      <xdr:nvPicPr>
        <xdr:cNvPr id="443" name="ID_CE65451088AC465C8BA214EB4244AEB4"/>
        <xdr:cNvPicPr>
          <a:picLocks noChangeAspect="1"/>
        </xdr:cNvPicPr>
      </xdr:nvPicPr>
      <xdr:blipFill>
        <a:blip r:embed="rId304"/>
        <a:stretch>
          <a:fillRect/>
        </a:stretch>
      </xdr:blipFill>
      <xdr:spPr>
        <a:xfrm>
          <a:off x="7715250" y="71897240"/>
          <a:ext cx="504825" cy="673100"/>
        </a:xfrm>
        <a:prstGeom prst="rect">
          <a:avLst/>
        </a:prstGeom>
      </xdr:spPr>
    </xdr:pic>
  </etc:cellImage>
  <etc:cellImage>
    <xdr:pic>
      <xdr:nvPicPr>
        <xdr:cNvPr id="444" name="ID_DE4BB589E87B4504B417DC9E1CD148B2"/>
        <xdr:cNvPicPr>
          <a:picLocks noChangeAspect="1"/>
        </xdr:cNvPicPr>
      </xdr:nvPicPr>
      <xdr:blipFill>
        <a:blip r:embed="rId305"/>
        <a:stretch>
          <a:fillRect/>
        </a:stretch>
      </xdr:blipFill>
      <xdr:spPr>
        <a:xfrm>
          <a:off x="7743825" y="72821165"/>
          <a:ext cx="457200" cy="609600"/>
        </a:xfrm>
        <a:prstGeom prst="rect">
          <a:avLst/>
        </a:prstGeom>
      </xdr:spPr>
    </xdr:pic>
  </etc:cellImage>
  <etc:cellImage>
    <xdr:pic>
      <xdr:nvPicPr>
        <xdr:cNvPr id="445" name="ID_5E2284AAC5F047EE9F57F2EDCCE4292B"/>
        <xdr:cNvPicPr>
          <a:picLocks noChangeAspect="1"/>
        </xdr:cNvPicPr>
      </xdr:nvPicPr>
      <xdr:blipFill>
        <a:blip r:embed="rId306"/>
        <a:stretch>
          <a:fillRect/>
        </a:stretch>
      </xdr:blipFill>
      <xdr:spPr>
        <a:xfrm>
          <a:off x="7724775" y="73624440"/>
          <a:ext cx="523875" cy="697230"/>
        </a:xfrm>
        <a:prstGeom prst="rect">
          <a:avLst/>
        </a:prstGeom>
      </xdr:spPr>
    </xdr:pic>
  </etc:cellImage>
  <etc:cellImage>
    <xdr:pic>
      <xdr:nvPicPr>
        <xdr:cNvPr id="446" name="ID_E5B7473A1EF542489B4E45887491C36F"/>
        <xdr:cNvPicPr>
          <a:picLocks noChangeAspect="1"/>
        </xdr:cNvPicPr>
      </xdr:nvPicPr>
      <xdr:blipFill>
        <a:blip r:embed="rId307"/>
        <a:stretch>
          <a:fillRect/>
        </a:stretch>
      </xdr:blipFill>
      <xdr:spPr>
        <a:xfrm>
          <a:off x="7610475" y="74470895"/>
          <a:ext cx="876300" cy="662940"/>
        </a:xfrm>
        <a:prstGeom prst="rect">
          <a:avLst/>
        </a:prstGeom>
      </xdr:spPr>
    </xdr:pic>
  </etc:cellImage>
  <etc:cellImage>
    <xdr:pic>
      <xdr:nvPicPr>
        <xdr:cNvPr id="447" name="ID_2FACA19EAD974834872A1A8801CDAC83"/>
        <xdr:cNvPicPr>
          <a:picLocks noChangeAspect="1"/>
        </xdr:cNvPicPr>
      </xdr:nvPicPr>
      <xdr:blipFill>
        <a:blip r:embed="rId308"/>
        <a:stretch>
          <a:fillRect/>
        </a:stretch>
      </xdr:blipFill>
      <xdr:spPr>
        <a:xfrm>
          <a:off x="7562850" y="75645010"/>
          <a:ext cx="933450" cy="518795"/>
        </a:xfrm>
        <a:prstGeom prst="rect">
          <a:avLst/>
        </a:prstGeom>
      </xdr:spPr>
    </xdr:pic>
  </etc:cellImage>
  <etc:cellImage>
    <xdr:pic>
      <xdr:nvPicPr>
        <xdr:cNvPr id="448" name="ID_C2069FFB0F7E438883C9FD24A0C30476"/>
        <xdr:cNvPicPr>
          <a:picLocks noChangeAspect="1"/>
        </xdr:cNvPicPr>
      </xdr:nvPicPr>
      <xdr:blipFill>
        <a:blip r:embed="rId309"/>
        <a:stretch>
          <a:fillRect/>
        </a:stretch>
      </xdr:blipFill>
      <xdr:spPr>
        <a:xfrm>
          <a:off x="7600950" y="76297790"/>
          <a:ext cx="723900" cy="796290"/>
        </a:xfrm>
        <a:prstGeom prst="rect">
          <a:avLst/>
        </a:prstGeom>
      </xdr:spPr>
    </xdr:pic>
  </etc:cellImage>
  <etc:cellImage>
    <xdr:pic>
      <xdr:nvPicPr>
        <xdr:cNvPr id="449" name="ID_AB35752D698842299607EF18E8CF866C"/>
        <xdr:cNvPicPr>
          <a:picLocks noChangeAspect="1"/>
        </xdr:cNvPicPr>
      </xdr:nvPicPr>
      <xdr:blipFill>
        <a:blip r:embed="rId310"/>
        <a:stretch>
          <a:fillRect/>
        </a:stretch>
      </xdr:blipFill>
      <xdr:spPr>
        <a:xfrm>
          <a:off x="7677150" y="77245845"/>
          <a:ext cx="619125" cy="831215"/>
        </a:xfrm>
        <a:prstGeom prst="rect">
          <a:avLst/>
        </a:prstGeom>
      </xdr:spPr>
    </xdr:pic>
  </etc:cellImage>
  <etc:cellImage>
    <xdr:pic>
      <xdr:nvPicPr>
        <xdr:cNvPr id="450" name="ID_04C1F5EB0B3C4864A6AF512A2EAC25E2"/>
        <xdr:cNvPicPr>
          <a:picLocks noChangeAspect="1"/>
        </xdr:cNvPicPr>
      </xdr:nvPicPr>
      <xdr:blipFill>
        <a:blip r:embed="rId311"/>
        <a:stretch>
          <a:fillRect/>
        </a:stretch>
      </xdr:blipFill>
      <xdr:spPr>
        <a:xfrm>
          <a:off x="7562850" y="78200250"/>
          <a:ext cx="874395" cy="581025"/>
        </a:xfrm>
        <a:prstGeom prst="rect">
          <a:avLst/>
        </a:prstGeom>
      </xdr:spPr>
    </xdr:pic>
  </etc:cellImage>
  <etc:cellImage>
    <xdr:pic>
      <xdr:nvPicPr>
        <xdr:cNvPr id="451" name="ID_1863B787B00C4C42AD94EA898E837CD7"/>
        <xdr:cNvPicPr>
          <a:picLocks noChangeAspect="1"/>
        </xdr:cNvPicPr>
      </xdr:nvPicPr>
      <xdr:blipFill>
        <a:blip r:embed="rId312"/>
        <a:stretch>
          <a:fillRect/>
        </a:stretch>
      </xdr:blipFill>
      <xdr:spPr>
        <a:xfrm>
          <a:off x="7620000" y="78960980"/>
          <a:ext cx="695325" cy="723265"/>
        </a:xfrm>
        <a:prstGeom prst="rect">
          <a:avLst/>
        </a:prstGeom>
      </xdr:spPr>
    </xdr:pic>
  </etc:cellImage>
  <etc:cellImage>
    <xdr:pic>
      <xdr:nvPicPr>
        <xdr:cNvPr id="452" name="ID_E677F57F27E24C81B1D211E0BAB130A8"/>
        <xdr:cNvPicPr>
          <a:picLocks noChangeAspect="1"/>
        </xdr:cNvPicPr>
      </xdr:nvPicPr>
      <xdr:blipFill>
        <a:blip r:embed="rId313"/>
        <a:stretch>
          <a:fillRect/>
        </a:stretch>
      </xdr:blipFill>
      <xdr:spPr>
        <a:xfrm>
          <a:off x="7496175" y="80013810"/>
          <a:ext cx="962025" cy="488315"/>
        </a:xfrm>
        <a:prstGeom prst="rect">
          <a:avLst/>
        </a:prstGeom>
      </xdr:spPr>
    </xdr:pic>
  </etc:cellImage>
  <etc:cellImage>
    <xdr:pic>
      <xdr:nvPicPr>
        <xdr:cNvPr id="453" name="ID_BCBA1E95BD414E96AB812B4DD678CA06"/>
        <xdr:cNvPicPr>
          <a:picLocks noChangeAspect="1"/>
        </xdr:cNvPicPr>
      </xdr:nvPicPr>
      <xdr:blipFill>
        <a:blip r:embed="rId314"/>
        <a:stretch>
          <a:fillRect/>
        </a:stretch>
      </xdr:blipFill>
      <xdr:spPr>
        <a:xfrm>
          <a:off x="7486650" y="80686275"/>
          <a:ext cx="895985" cy="713105"/>
        </a:xfrm>
        <a:prstGeom prst="rect">
          <a:avLst/>
        </a:prstGeom>
      </xdr:spPr>
    </xdr:pic>
  </etc:cellImage>
  <etc:cellImage>
    <xdr:pic>
      <xdr:nvPicPr>
        <xdr:cNvPr id="368" name="ID_ABE49645686946669AF83082D5FBFAF4"/>
        <xdr:cNvPicPr>
          <a:picLocks noChangeAspect="1"/>
        </xdr:cNvPicPr>
      </xdr:nvPicPr>
      <xdr:blipFill>
        <a:blip r:embed="rId315"/>
        <a:stretch>
          <a:fillRect/>
        </a:stretch>
      </xdr:blipFill>
      <xdr:spPr>
        <a:xfrm>
          <a:off x="9210675" y="673100"/>
          <a:ext cx="774065" cy="883920"/>
        </a:xfrm>
        <a:prstGeom prst="rect">
          <a:avLst/>
        </a:prstGeom>
      </xdr:spPr>
    </xdr:pic>
  </etc:cellImage>
  <etc:cellImage>
    <xdr:pic>
      <xdr:nvPicPr>
        <xdr:cNvPr id="413" name="ID_3344C1337DAF4CAD909089779D35D454"/>
        <xdr:cNvPicPr>
          <a:picLocks noChangeAspect="1"/>
        </xdr:cNvPicPr>
      </xdr:nvPicPr>
      <xdr:blipFill>
        <a:blip r:embed="rId316"/>
        <a:stretch>
          <a:fillRect/>
        </a:stretch>
      </xdr:blipFill>
      <xdr:spPr>
        <a:xfrm>
          <a:off x="9153525" y="1289050"/>
          <a:ext cx="840740" cy="615315"/>
        </a:xfrm>
        <a:prstGeom prst="rect">
          <a:avLst/>
        </a:prstGeom>
      </xdr:spPr>
    </xdr:pic>
  </etc:cellImage>
  <etc:cellImage>
    <xdr:pic>
      <xdr:nvPicPr>
        <xdr:cNvPr id="454" name="ID_7943E36541354753BBEAC4E9E5BE89E9"/>
        <xdr:cNvPicPr>
          <a:picLocks noChangeAspect="1"/>
        </xdr:cNvPicPr>
      </xdr:nvPicPr>
      <xdr:blipFill>
        <a:blip r:embed="rId317"/>
        <a:stretch>
          <a:fillRect/>
        </a:stretch>
      </xdr:blipFill>
      <xdr:spPr>
        <a:xfrm>
          <a:off x="9210675" y="1962150"/>
          <a:ext cx="596900" cy="706755"/>
        </a:xfrm>
        <a:prstGeom prst="rect">
          <a:avLst/>
        </a:prstGeom>
      </xdr:spPr>
    </xdr:pic>
  </etc:cellImage>
  <etc:cellImage>
    <xdr:pic>
      <xdr:nvPicPr>
        <xdr:cNvPr id="456" name="ID_EB79C5ADF32B4185B8E60437738C5506"/>
        <xdr:cNvPicPr>
          <a:picLocks noChangeAspect="1"/>
        </xdr:cNvPicPr>
      </xdr:nvPicPr>
      <xdr:blipFill>
        <a:blip r:embed="rId318"/>
        <a:stretch>
          <a:fillRect/>
        </a:stretch>
      </xdr:blipFill>
      <xdr:spPr>
        <a:xfrm>
          <a:off x="9372600" y="2559050"/>
          <a:ext cx="457200" cy="981075"/>
        </a:xfrm>
        <a:prstGeom prst="rect">
          <a:avLst/>
        </a:prstGeom>
      </xdr:spPr>
    </xdr:pic>
  </etc:cellImage>
  <etc:cellImage>
    <xdr:pic>
      <xdr:nvPicPr>
        <xdr:cNvPr id="457" name="ID_E3E2B2430E0544CBBD3BDE3D9C3037BD"/>
        <xdr:cNvPicPr>
          <a:picLocks noChangeAspect="1"/>
        </xdr:cNvPicPr>
      </xdr:nvPicPr>
      <xdr:blipFill>
        <a:blip r:embed="rId319"/>
        <a:stretch>
          <a:fillRect/>
        </a:stretch>
      </xdr:blipFill>
      <xdr:spPr>
        <a:xfrm>
          <a:off x="9258300" y="3289300"/>
          <a:ext cx="1042035" cy="609600"/>
        </a:xfrm>
        <a:prstGeom prst="rect">
          <a:avLst/>
        </a:prstGeom>
      </xdr:spPr>
    </xdr:pic>
  </etc:cellImage>
  <etc:cellImage>
    <xdr:pic>
      <xdr:nvPicPr>
        <xdr:cNvPr id="458" name="ID_11F49DBB3B9A42BEAEF4608CC697EF2A"/>
        <xdr:cNvPicPr>
          <a:picLocks noChangeAspect="1"/>
        </xdr:cNvPicPr>
      </xdr:nvPicPr>
      <xdr:blipFill>
        <a:blip r:embed="rId320"/>
        <a:stretch>
          <a:fillRect/>
        </a:stretch>
      </xdr:blipFill>
      <xdr:spPr>
        <a:xfrm>
          <a:off x="9191625" y="4616450"/>
          <a:ext cx="996315" cy="962025"/>
        </a:xfrm>
        <a:prstGeom prst="rect">
          <a:avLst/>
        </a:prstGeom>
      </xdr:spPr>
    </xdr:pic>
  </etc:cellImage>
  <etc:cellImage>
    <xdr:pic>
      <xdr:nvPicPr>
        <xdr:cNvPr id="459" name="ID_B6DF843751B1483FBE705D696CFD3B92"/>
        <xdr:cNvPicPr>
          <a:picLocks noChangeAspect="1"/>
        </xdr:cNvPicPr>
      </xdr:nvPicPr>
      <xdr:blipFill>
        <a:blip r:embed="rId321"/>
        <a:stretch>
          <a:fillRect/>
        </a:stretch>
      </xdr:blipFill>
      <xdr:spPr>
        <a:xfrm>
          <a:off x="9525000" y="6388100"/>
          <a:ext cx="609600" cy="743585"/>
        </a:xfrm>
        <a:prstGeom prst="rect">
          <a:avLst/>
        </a:prstGeom>
      </xdr:spPr>
    </xdr:pic>
  </etc:cellImage>
  <etc:cellImage>
    <xdr:pic>
      <xdr:nvPicPr>
        <xdr:cNvPr id="461" name="ID_915F028736DE4BE5A15E82C116941633"/>
        <xdr:cNvPicPr>
          <a:picLocks noChangeAspect="1"/>
        </xdr:cNvPicPr>
      </xdr:nvPicPr>
      <xdr:blipFill>
        <a:blip r:embed="rId322"/>
        <a:stretch>
          <a:fillRect/>
        </a:stretch>
      </xdr:blipFill>
      <xdr:spPr>
        <a:xfrm>
          <a:off x="9544050" y="7715250"/>
          <a:ext cx="627380" cy="1011555"/>
        </a:xfrm>
        <a:prstGeom prst="rect">
          <a:avLst/>
        </a:prstGeom>
      </xdr:spPr>
    </xdr:pic>
  </etc:cellImage>
  <etc:cellImage>
    <xdr:pic>
      <xdr:nvPicPr>
        <xdr:cNvPr id="462" name="ID_51FB8C1D1795496BA1904B41B08EA40E"/>
        <xdr:cNvPicPr>
          <a:picLocks noChangeAspect="1"/>
        </xdr:cNvPicPr>
      </xdr:nvPicPr>
      <xdr:blipFill>
        <a:blip r:embed="rId323"/>
        <a:stretch>
          <a:fillRect/>
        </a:stretch>
      </xdr:blipFill>
      <xdr:spPr>
        <a:xfrm>
          <a:off x="9315450" y="8645525"/>
          <a:ext cx="1072515" cy="243840"/>
        </a:xfrm>
        <a:prstGeom prst="rect">
          <a:avLst/>
        </a:prstGeom>
      </xdr:spPr>
    </xdr:pic>
  </etc:cellImage>
  <etc:cellImage>
    <xdr:pic>
      <xdr:nvPicPr>
        <xdr:cNvPr id="463" name="ID_88398F7789034EF9866150C0FDCF0EE0"/>
        <xdr:cNvPicPr>
          <a:picLocks noChangeAspect="1"/>
        </xdr:cNvPicPr>
      </xdr:nvPicPr>
      <xdr:blipFill>
        <a:blip r:embed="rId324"/>
        <a:stretch>
          <a:fillRect/>
        </a:stretch>
      </xdr:blipFill>
      <xdr:spPr>
        <a:xfrm>
          <a:off x="9505950" y="8993505"/>
          <a:ext cx="495300" cy="1103630"/>
        </a:xfrm>
        <a:prstGeom prst="rect">
          <a:avLst/>
        </a:prstGeom>
      </xdr:spPr>
    </xdr:pic>
  </etc:cellImage>
  <etc:cellImage>
    <xdr:pic>
      <xdr:nvPicPr>
        <xdr:cNvPr id="464" name="ID_EA8F8068097D4D919F2F8F85F4B0AD8E"/>
        <xdr:cNvPicPr>
          <a:picLocks noChangeAspect="1"/>
        </xdr:cNvPicPr>
      </xdr:nvPicPr>
      <xdr:blipFill>
        <a:blip r:embed="rId325"/>
        <a:stretch>
          <a:fillRect/>
        </a:stretch>
      </xdr:blipFill>
      <xdr:spPr>
        <a:xfrm>
          <a:off x="9420225" y="9782175"/>
          <a:ext cx="987425" cy="457200"/>
        </a:xfrm>
        <a:prstGeom prst="rect">
          <a:avLst/>
        </a:prstGeom>
      </xdr:spPr>
    </xdr:pic>
  </etc:cellImage>
  <etc:cellImage>
    <xdr:pic>
      <xdr:nvPicPr>
        <xdr:cNvPr id="465" name="ID_D1E847D08DC04B49A986E898A9D0B427"/>
        <xdr:cNvPicPr>
          <a:picLocks noChangeAspect="1"/>
        </xdr:cNvPicPr>
      </xdr:nvPicPr>
      <xdr:blipFill>
        <a:blip r:embed="rId326"/>
        <a:stretch>
          <a:fillRect/>
        </a:stretch>
      </xdr:blipFill>
      <xdr:spPr>
        <a:xfrm>
          <a:off x="9362440" y="10579100"/>
          <a:ext cx="1016635" cy="85725"/>
        </a:xfrm>
        <a:prstGeom prst="rect">
          <a:avLst/>
        </a:prstGeom>
      </xdr:spPr>
    </xdr:pic>
  </etc:cellImage>
  <etc:cellImage>
    <xdr:pic>
      <xdr:nvPicPr>
        <xdr:cNvPr id="466" name="ID_11257A8166224FF8BC5047AF650F378E"/>
        <xdr:cNvPicPr>
          <a:picLocks noChangeAspect="1"/>
        </xdr:cNvPicPr>
      </xdr:nvPicPr>
      <xdr:blipFill>
        <a:blip r:embed="rId327"/>
        <a:stretch>
          <a:fillRect/>
        </a:stretch>
      </xdr:blipFill>
      <xdr:spPr>
        <a:xfrm>
          <a:off x="9267825" y="10947400"/>
          <a:ext cx="1314450" cy="994410"/>
        </a:xfrm>
        <a:prstGeom prst="rect">
          <a:avLst/>
        </a:prstGeom>
      </xdr:spPr>
    </xdr:pic>
  </etc:cellImage>
  <etc:cellImage>
    <xdr:pic>
      <xdr:nvPicPr>
        <xdr:cNvPr id="467" name="ID_B6FDEEBBD8714C68AAE01107C63C24D0"/>
        <xdr:cNvPicPr>
          <a:picLocks noChangeAspect="1"/>
        </xdr:cNvPicPr>
      </xdr:nvPicPr>
      <xdr:blipFill>
        <a:blip r:embed="rId328"/>
        <a:stretch>
          <a:fillRect/>
        </a:stretch>
      </xdr:blipFill>
      <xdr:spPr>
        <a:xfrm>
          <a:off x="9239250" y="11572875"/>
          <a:ext cx="1170305" cy="914400"/>
        </a:xfrm>
        <a:prstGeom prst="rect">
          <a:avLst/>
        </a:prstGeom>
      </xdr:spPr>
    </xdr:pic>
  </etc:cellImage>
  <etc:cellImage>
    <xdr:pic>
      <xdr:nvPicPr>
        <xdr:cNvPr id="468" name="ID_77A66670CBBD40B9BF4BA48132031A72"/>
        <xdr:cNvPicPr>
          <a:picLocks noChangeAspect="1"/>
        </xdr:cNvPicPr>
      </xdr:nvPicPr>
      <xdr:blipFill>
        <a:blip r:embed="rId329"/>
        <a:stretch>
          <a:fillRect/>
        </a:stretch>
      </xdr:blipFill>
      <xdr:spPr>
        <a:xfrm>
          <a:off x="9486900" y="12293600"/>
          <a:ext cx="731520" cy="657860"/>
        </a:xfrm>
        <a:prstGeom prst="rect">
          <a:avLst/>
        </a:prstGeom>
      </xdr:spPr>
    </xdr:pic>
  </etc:cellImage>
  <etc:cellImage>
    <xdr:pic>
      <xdr:nvPicPr>
        <xdr:cNvPr id="469" name="ID_6B6E9EA72ADE4FE9A456B99FCC78BCDA"/>
        <xdr:cNvPicPr>
          <a:picLocks noChangeAspect="1"/>
        </xdr:cNvPicPr>
      </xdr:nvPicPr>
      <xdr:blipFill>
        <a:blip r:embed="rId330"/>
        <a:stretch>
          <a:fillRect/>
        </a:stretch>
      </xdr:blipFill>
      <xdr:spPr>
        <a:xfrm>
          <a:off x="9286875" y="12766675"/>
          <a:ext cx="1127760" cy="822960"/>
        </a:xfrm>
        <a:prstGeom prst="rect">
          <a:avLst/>
        </a:prstGeom>
      </xdr:spPr>
    </xdr:pic>
  </etc:cellImage>
  <etc:cellImage>
    <xdr:pic>
      <xdr:nvPicPr>
        <xdr:cNvPr id="470" name="ID_EB6FEC19D69544AC9DF28B431E50429B"/>
        <xdr:cNvPicPr>
          <a:picLocks noChangeAspect="1"/>
        </xdr:cNvPicPr>
      </xdr:nvPicPr>
      <xdr:blipFill>
        <a:blip r:embed="rId331"/>
        <a:stretch>
          <a:fillRect/>
        </a:stretch>
      </xdr:blipFill>
      <xdr:spPr>
        <a:xfrm>
          <a:off x="9382125" y="13496925"/>
          <a:ext cx="792480" cy="718820"/>
        </a:xfrm>
        <a:prstGeom prst="rect">
          <a:avLst/>
        </a:prstGeom>
      </xdr:spPr>
    </xdr:pic>
  </etc:cellImage>
  <etc:cellImage>
    <xdr:pic>
      <xdr:nvPicPr>
        <xdr:cNvPr id="471" name="ID_EC1B6119E2ED4B85801331B428FF75E0"/>
        <xdr:cNvPicPr>
          <a:picLocks noChangeAspect="1"/>
        </xdr:cNvPicPr>
      </xdr:nvPicPr>
      <xdr:blipFill>
        <a:blip r:embed="rId332"/>
        <a:stretch>
          <a:fillRect/>
        </a:stretch>
      </xdr:blipFill>
      <xdr:spPr>
        <a:xfrm>
          <a:off x="9448800" y="14179550"/>
          <a:ext cx="743585" cy="664210"/>
        </a:xfrm>
        <a:prstGeom prst="rect">
          <a:avLst/>
        </a:prstGeom>
      </xdr:spPr>
    </xdr:pic>
  </etc:cellImage>
  <etc:cellImage>
    <xdr:pic>
      <xdr:nvPicPr>
        <xdr:cNvPr id="472" name="ID_B890145B88124C69847E579F2BF9F325"/>
        <xdr:cNvPicPr>
          <a:picLocks noChangeAspect="1" noChangeArrowheads="1"/>
        </xdr:cNvPicPr>
      </xdr:nvPicPr>
      <xdr:blipFill>
        <a:blip r:embed="rId333" cstate="print">
          <a:extLst>
            <a:ext uri="{28A0092B-C50C-407E-A947-70E740481C1C}">
              <a14:useLocalDpi xmlns:a14="http://schemas.microsoft.com/office/drawing/2010/main" val="0"/>
            </a:ext>
          </a:extLst>
        </a:blip>
        <a:srcRect/>
        <a:stretch>
          <a:fillRect/>
        </a:stretch>
      </xdr:blipFill>
      <xdr:spPr>
        <a:xfrm>
          <a:off x="9410700" y="14719935"/>
          <a:ext cx="933450" cy="89471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73" name="ID_FBCDD5BAB01D4AFD86FE62D12D1817DF"/>
        <xdr:cNvPicPr>
          <a:picLocks noChangeAspect="1"/>
        </xdr:cNvPicPr>
      </xdr:nvPicPr>
      <xdr:blipFill>
        <a:blip r:embed="rId334"/>
        <a:stretch>
          <a:fillRect/>
        </a:stretch>
      </xdr:blipFill>
      <xdr:spPr>
        <a:xfrm>
          <a:off x="9229725" y="15378430"/>
          <a:ext cx="1352550" cy="937260"/>
        </a:xfrm>
        <a:prstGeom prst="rect">
          <a:avLst/>
        </a:prstGeom>
      </xdr:spPr>
    </xdr:pic>
  </etc:cellImage>
  <etc:cellImage>
    <xdr:pic>
      <xdr:nvPicPr>
        <xdr:cNvPr id="474" name="ID_3CBA1D199B0F4A4D93B8650CDC209379"/>
        <xdr:cNvPicPr>
          <a:picLocks noChangeAspect="1"/>
        </xdr:cNvPicPr>
      </xdr:nvPicPr>
      <xdr:blipFill>
        <a:blip r:embed="rId335"/>
        <a:stretch>
          <a:fillRect/>
        </a:stretch>
      </xdr:blipFill>
      <xdr:spPr>
        <a:xfrm>
          <a:off x="9448165" y="16193770"/>
          <a:ext cx="800735" cy="767080"/>
        </a:xfrm>
        <a:prstGeom prst="rect">
          <a:avLst/>
        </a:prstGeom>
      </xdr:spPr>
    </xdr:pic>
  </etc:cellImage>
  <etc:cellImage>
    <xdr:pic>
      <xdr:nvPicPr>
        <xdr:cNvPr id="475" name="ID_AE728F704AC04F5A9418631EFE597C14"/>
        <xdr:cNvPicPr>
          <a:picLocks noChangeAspect="1"/>
        </xdr:cNvPicPr>
      </xdr:nvPicPr>
      <xdr:blipFill>
        <a:blip r:embed="rId336"/>
        <a:stretch>
          <a:fillRect/>
        </a:stretch>
      </xdr:blipFill>
      <xdr:spPr>
        <a:xfrm>
          <a:off x="9639300" y="17183100"/>
          <a:ext cx="535940" cy="1090930"/>
        </a:xfrm>
        <a:prstGeom prst="rect">
          <a:avLst/>
        </a:prstGeom>
      </xdr:spPr>
    </xdr:pic>
  </etc:cellImage>
  <etc:cellImage>
    <xdr:pic>
      <xdr:nvPicPr>
        <xdr:cNvPr id="476" name="ID_A2DFEB4CC5144CDD95981EF692C4B57F"/>
        <xdr:cNvPicPr>
          <a:picLocks noChangeAspect="1"/>
        </xdr:cNvPicPr>
      </xdr:nvPicPr>
      <xdr:blipFill>
        <a:blip r:embed="rId337"/>
        <a:stretch>
          <a:fillRect/>
        </a:stretch>
      </xdr:blipFill>
      <xdr:spPr>
        <a:xfrm>
          <a:off x="9544050" y="18453100"/>
          <a:ext cx="584835" cy="786130"/>
        </a:xfrm>
        <a:prstGeom prst="rect">
          <a:avLst/>
        </a:prstGeom>
      </xdr:spPr>
    </xdr:pic>
  </etc:cellImage>
  <etc:cellImage>
    <xdr:pic>
      <xdr:nvPicPr>
        <xdr:cNvPr id="477" name="ID_DCDE573852DB44C882779D6FCD0FBBDE"/>
        <xdr:cNvPicPr>
          <a:picLocks noChangeAspect="1"/>
        </xdr:cNvPicPr>
      </xdr:nvPicPr>
      <xdr:blipFill>
        <a:blip r:embed="rId338"/>
        <a:stretch>
          <a:fillRect/>
        </a:stretch>
      </xdr:blipFill>
      <xdr:spPr>
        <a:xfrm>
          <a:off x="9353550" y="18284825"/>
          <a:ext cx="1011555" cy="280035"/>
        </a:xfrm>
        <a:prstGeom prst="rect">
          <a:avLst/>
        </a:prstGeom>
      </xdr:spPr>
    </xdr:pic>
  </etc:cellImage>
  <etc:cellImage>
    <xdr:pic>
      <xdr:nvPicPr>
        <xdr:cNvPr id="478" name="ID_652A46D59D56463494F02E1B89A5A2D4"/>
        <xdr:cNvPicPr>
          <a:picLocks noChangeAspect="1" noChangeArrowheads="1"/>
        </xdr:cNvPicPr>
      </xdr:nvPicPr>
      <xdr:blipFill>
        <a:blip r:embed="rId339" cstate="print">
          <a:extLst>
            <a:ext uri="{28A0092B-C50C-407E-A947-70E740481C1C}">
              <a14:useLocalDpi xmlns:a14="http://schemas.microsoft.com/office/drawing/2010/main" val="0"/>
            </a:ext>
          </a:extLst>
        </a:blip>
        <a:srcRect/>
        <a:stretch>
          <a:fillRect/>
        </a:stretch>
      </xdr:blipFill>
      <xdr:spPr>
        <a:xfrm>
          <a:off x="9410700" y="19145250"/>
          <a:ext cx="989965" cy="98996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79" name="ID_DD792F0E136F42B08D85F61467D85CB1"/>
        <xdr:cNvPicPr>
          <a:picLocks noChangeAspect="1" noChangeArrowheads="1"/>
        </xdr:cNvPicPr>
      </xdr:nvPicPr>
      <xdr:blipFill>
        <a:blip r:embed="rId340" cstate="print">
          <a:extLst>
            <a:ext uri="{28A0092B-C50C-407E-A947-70E740481C1C}">
              <a14:useLocalDpi xmlns:a14="http://schemas.microsoft.com/office/drawing/2010/main" val="0"/>
            </a:ext>
          </a:extLst>
        </a:blip>
        <a:srcRect/>
        <a:stretch>
          <a:fillRect/>
        </a:stretch>
      </xdr:blipFill>
      <xdr:spPr>
        <a:xfrm>
          <a:off x="9505950" y="19856450"/>
          <a:ext cx="666750" cy="66675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0" name="ID_E0BC0CE1B89941B784185C4B86E4D33C"/>
        <xdr:cNvPicPr>
          <a:picLocks noChangeAspect="1" noChangeArrowheads="1"/>
        </xdr:cNvPicPr>
      </xdr:nvPicPr>
      <xdr:blipFill>
        <a:blip r:embed="rId341" cstate="print">
          <a:extLst>
            <a:ext uri="{28A0092B-C50C-407E-A947-70E740481C1C}">
              <a14:useLocalDpi xmlns:a14="http://schemas.microsoft.com/office/drawing/2010/main" val="0"/>
            </a:ext>
          </a:extLst>
        </a:blip>
        <a:srcRect/>
        <a:stretch>
          <a:fillRect/>
        </a:stretch>
      </xdr:blipFill>
      <xdr:spPr>
        <a:xfrm>
          <a:off x="9515475" y="20491450"/>
          <a:ext cx="685165" cy="68516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1" name="ID_D0B5DBC3823E4DB48CE71367A6C2A399"/>
        <xdr:cNvPicPr>
          <a:picLocks noChangeAspect="1" noChangeArrowheads="1"/>
        </xdr:cNvPicPr>
      </xdr:nvPicPr>
      <xdr:blipFill>
        <a:blip r:embed="rId342" cstate="print">
          <a:extLst>
            <a:ext uri="{28A0092B-C50C-407E-A947-70E740481C1C}">
              <a14:useLocalDpi xmlns:a14="http://schemas.microsoft.com/office/drawing/2010/main" val="0"/>
            </a:ext>
          </a:extLst>
        </a:blip>
        <a:srcRect/>
        <a:stretch>
          <a:fillRect/>
        </a:stretch>
      </xdr:blipFill>
      <xdr:spPr>
        <a:xfrm>
          <a:off x="9801225" y="21021675"/>
          <a:ext cx="565150" cy="67627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2" name="ID_B49D84AD6F9C4DF78C2FDF4BEF37084E"/>
        <xdr:cNvPicPr>
          <a:picLocks noChangeAspect="1" noChangeArrowheads="1"/>
        </xdr:cNvPicPr>
      </xdr:nvPicPr>
      <xdr:blipFill>
        <a:blip r:embed="rId343" cstate="print">
          <a:extLst>
            <a:ext uri="{28A0092B-C50C-407E-A947-70E740481C1C}">
              <a14:useLocalDpi xmlns:a14="http://schemas.microsoft.com/office/drawing/2010/main" val="0"/>
            </a:ext>
          </a:extLst>
        </a:blip>
        <a:srcRect/>
        <a:stretch>
          <a:fillRect/>
        </a:stretch>
      </xdr:blipFill>
      <xdr:spPr>
        <a:xfrm>
          <a:off x="9496425" y="21637625"/>
          <a:ext cx="876300" cy="87630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3" name="ID_C40F443D9A0F49908B38D7EA535FDD4B"/>
        <xdr:cNvPicPr>
          <a:picLocks noChangeAspect="1" noChangeArrowheads="1"/>
        </xdr:cNvPicPr>
      </xdr:nvPicPr>
      <xdr:blipFill>
        <a:blip r:embed="rId344" cstate="print">
          <a:extLst>
            <a:ext uri="{28A0092B-C50C-407E-A947-70E740481C1C}">
              <a14:useLocalDpi xmlns:a14="http://schemas.microsoft.com/office/drawing/2010/main" val="0"/>
            </a:ext>
          </a:extLst>
        </a:blip>
        <a:srcRect/>
        <a:stretch>
          <a:fillRect/>
        </a:stretch>
      </xdr:blipFill>
      <xdr:spPr>
        <a:xfrm>
          <a:off x="9515475" y="22357715"/>
          <a:ext cx="742950" cy="74358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4" name="ID_1BD7B6F2BE6741BA95E0D3B2E0142024"/>
        <xdr:cNvPicPr>
          <a:picLocks noChangeAspect="1" noChangeArrowheads="1"/>
        </xdr:cNvPicPr>
      </xdr:nvPicPr>
      <xdr:blipFill>
        <a:blip r:embed="rId345" cstate="print">
          <a:extLst>
            <a:ext uri="{28A0092B-C50C-407E-A947-70E740481C1C}">
              <a14:useLocalDpi xmlns:a14="http://schemas.microsoft.com/office/drawing/2010/main" val="0"/>
            </a:ext>
          </a:extLst>
        </a:blip>
        <a:srcRect/>
        <a:stretch>
          <a:fillRect/>
        </a:stretch>
      </xdr:blipFill>
      <xdr:spPr>
        <a:xfrm>
          <a:off x="9639300" y="23060025"/>
          <a:ext cx="514350" cy="68580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5" name="ID_70A6D2DB5D744AE6A22AA11E4594463A"/>
        <xdr:cNvPicPr>
          <a:picLocks noChangeAspect="1" noChangeArrowheads="1"/>
        </xdr:cNvPicPr>
      </xdr:nvPicPr>
      <xdr:blipFill>
        <a:blip r:embed="rId346" cstate="print">
          <a:extLst>
            <a:ext uri="{28A0092B-C50C-407E-A947-70E740481C1C}">
              <a14:useLocalDpi xmlns:a14="http://schemas.microsoft.com/office/drawing/2010/main" val="0"/>
            </a:ext>
          </a:extLst>
        </a:blip>
        <a:srcRect/>
        <a:stretch>
          <a:fillRect/>
        </a:stretch>
      </xdr:blipFill>
      <xdr:spPr>
        <a:xfrm>
          <a:off x="9543415" y="23684865"/>
          <a:ext cx="790575" cy="79057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6" name="ID_3022F4A53A6942D38FE818553A1B3B2F"/>
        <xdr:cNvPicPr>
          <a:picLocks noChangeAspect="1" noChangeArrowheads="1"/>
        </xdr:cNvPicPr>
      </xdr:nvPicPr>
      <xdr:blipFill>
        <a:blip r:embed="rId347" cstate="print">
          <a:extLst>
            <a:ext uri="{28A0092B-C50C-407E-A947-70E740481C1C}">
              <a14:useLocalDpi xmlns:a14="http://schemas.microsoft.com/office/drawing/2010/main" val="0"/>
            </a:ext>
          </a:extLst>
        </a:blip>
        <a:srcRect/>
        <a:stretch>
          <a:fillRect/>
        </a:stretch>
      </xdr:blipFill>
      <xdr:spPr>
        <a:xfrm>
          <a:off x="9524365" y="24310340"/>
          <a:ext cx="790575" cy="79057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7" name="ID_1E829CB3137C4FE9881742948F7B69EB"/>
        <xdr:cNvPicPr>
          <a:picLocks noChangeAspect="1" noChangeArrowheads="1"/>
        </xdr:cNvPicPr>
      </xdr:nvPicPr>
      <xdr:blipFill>
        <a:blip r:embed="rId348" cstate="print">
          <a:extLst>
            <a:ext uri="{28A0092B-C50C-407E-A947-70E740481C1C}">
              <a14:useLocalDpi xmlns:a14="http://schemas.microsoft.com/office/drawing/2010/main" val="0"/>
            </a:ext>
          </a:extLst>
        </a:blip>
        <a:srcRect/>
        <a:stretch>
          <a:fillRect/>
        </a:stretch>
      </xdr:blipFill>
      <xdr:spPr>
        <a:xfrm>
          <a:off x="9477375" y="24793575"/>
          <a:ext cx="904240" cy="90424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8" name="ID_0C636967886A42B8B1F9C69D1218D344"/>
        <xdr:cNvPicPr>
          <a:picLocks noChangeAspect="1" noChangeArrowheads="1"/>
        </xdr:cNvPicPr>
      </xdr:nvPicPr>
      <xdr:blipFill>
        <a:blip r:embed="rId349" cstate="print">
          <a:extLst>
            <a:ext uri="{28A0092B-C50C-407E-A947-70E740481C1C}">
              <a14:useLocalDpi xmlns:a14="http://schemas.microsoft.com/office/drawing/2010/main" val="0"/>
            </a:ext>
          </a:extLst>
        </a:blip>
        <a:srcRect/>
        <a:stretch>
          <a:fillRect/>
        </a:stretch>
      </xdr:blipFill>
      <xdr:spPr>
        <a:xfrm>
          <a:off x="9320530" y="25600025"/>
          <a:ext cx="1099820" cy="73342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89" name="ID_F2C0E289A5234693985795AB7F0C0E66"/>
        <xdr:cNvPicPr>
          <a:picLocks noChangeAspect="1" noChangeArrowheads="1"/>
        </xdr:cNvPicPr>
      </xdr:nvPicPr>
      <xdr:blipFill>
        <a:blip r:embed="rId350" cstate="print">
          <a:extLst>
            <a:ext uri="{28A0092B-C50C-407E-A947-70E740481C1C}">
              <a14:useLocalDpi xmlns:a14="http://schemas.microsoft.com/office/drawing/2010/main" val="0"/>
            </a:ext>
          </a:extLst>
        </a:blip>
        <a:srcRect/>
        <a:stretch>
          <a:fillRect/>
        </a:stretch>
      </xdr:blipFill>
      <xdr:spPr>
        <a:xfrm>
          <a:off x="9505950" y="26205815"/>
          <a:ext cx="733425" cy="73342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90" name="ID_7CDD8AE0F40444F3923AF0240BA9EB52"/>
        <xdr:cNvPicPr>
          <a:picLocks noChangeAspect="1"/>
        </xdr:cNvPicPr>
      </xdr:nvPicPr>
      <xdr:blipFill>
        <a:blip r:embed="rId351"/>
        <a:stretch>
          <a:fillRect/>
        </a:stretch>
      </xdr:blipFill>
      <xdr:spPr>
        <a:xfrm>
          <a:off x="9419590" y="27184350"/>
          <a:ext cx="992505" cy="476250"/>
        </a:xfrm>
        <a:prstGeom prst="rect">
          <a:avLst/>
        </a:prstGeom>
      </xdr:spPr>
    </xdr:pic>
  </etc:cellImage>
  <etc:cellImage>
    <xdr:pic>
      <xdr:nvPicPr>
        <xdr:cNvPr id="491" name="ID_153FFF891AA349938245238949B8AAE8"/>
        <xdr:cNvPicPr>
          <a:picLocks noChangeAspect="1"/>
        </xdr:cNvPicPr>
      </xdr:nvPicPr>
      <xdr:blipFill>
        <a:blip r:embed="rId352"/>
        <a:stretch>
          <a:fillRect/>
        </a:stretch>
      </xdr:blipFill>
      <xdr:spPr>
        <a:xfrm>
          <a:off x="9344025" y="27466925"/>
          <a:ext cx="871220" cy="901700"/>
        </a:xfrm>
        <a:prstGeom prst="rect">
          <a:avLst/>
        </a:prstGeom>
      </xdr:spPr>
    </xdr:pic>
  </etc:cellImage>
  <etc:cellImage>
    <xdr:pic>
      <xdr:nvPicPr>
        <xdr:cNvPr id="492" name="ID_A726EE6E1FFD4AC2AC174AEF62AA4943"/>
        <xdr:cNvPicPr>
          <a:picLocks noChangeAspect="1"/>
        </xdr:cNvPicPr>
      </xdr:nvPicPr>
      <xdr:blipFill>
        <a:blip r:embed="rId353"/>
        <a:stretch>
          <a:fillRect/>
        </a:stretch>
      </xdr:blipFill>
      <xdr:spPr>
        <a:xfrm>
          <a:off x="9620250" y="28101925"/>
          <a:ext cx="737235" cy="731520"/>
        </a:xfrm>
        <a:prstGeom prst="rect">
          <a:avLst/>
        </a:prstGeom>
      </xdr:spPr>
    </xdr:pic>
  </etc:cellImage>
  <etc:cellImage>
    <xdr:pic>
      <xdr:nvPicPr>
        <xdr:cNvPr id="493" name="ID_5C593D9A9BB74E6EA5A47F77201C29ED"/>
        <xdr:cNvPicPr>
          <a:picLocks noChangeAspect="1"/>
        </xdr:cNvPicPr>
      </xdr:nvPicPr>
      <xdr:blipFill>
        <a:blip r:embed="rId354"/>
        <a:stretch>
          <a:fillRect/>
        </a:stretch>
      </xdr:blipFill>
      <xdr:spPr>
        <a:xfrm>
          <a:off x="9286875" y="28908375"/>
          <a:ext cx="1048385" cy="359410"/>
        </a:xfrm>
        <a:prstGeom prst="rect">
          <a:avLst/>
        </a:prstGeom>
      </xdr:spPr>
    </xdr:pic>
  </etc:cellImage>
  <etc:cellImage>
    <xdr:pic>
      <xdr:nvPicPr>
        <xdr:cNvPr id="494" name="ID_8458F93131F84402AE7DBEA6DD99DF8D"/>
        <xdr:cNvPicPr>
          <a:picLocks noChangeAspect="1"/>
        </xdr:cNvPicPr>
      </xdr:nvPicPr>
      <xdr:blipFill>
        <a:blip r:embed="rId355"/>
        <a:stretch>
          <a:fillRect/>
        </a:stretch>
      </xdr:blipFill>
      <xdr:spPr>
        <a:xfrm>
          <a:off x="9372600" y="29410025"/>
          <a:ext cx="926465" cy="571500"/>
        </a:xfrm>
        <a:prstGeom prst="rect">
          <a:avLst/>
        </a:prstGeom>
      </xdr:spPr>
    </xdr:pic>
  </etc:cellImage>
  <etc:cellImage>
    <xdr:pic>
      <xdr:nvPicPr>
        <xdr:cNvPr id="495" name="ID_C4686ACAE1CF4355BCCFBCFBE33B34C0"/>
        <xdr:cNvPicPr>
          <a:picLocks noChangeAspect="1"/>
        </xdr:cNvPicPr>
      </xdr:nvPicPr>
      <xdr:blipFill>
        <a:blip r:embed="rId356"/>
        <a:stretch>
          <a:fillRect/>
        </a:stretch>
      </xdr:blipFill>
      <xdr:spPr>
        <a:xfrm>
          <a:off x="9372600" y="30273625"/>
          <a:ext cx="969010" cy="158115"/>
        </a:xfrm>
        <a:prstGeom prst="rect">
          <a:avLst/>
        </a:prstGeom>
      </xdr:spPr>
    </xdr:pic>
  </etc:cellImage>
  <etc:cellImage>
    <xdr:pic>
      <xdr:nvPicPr>
        <xdr:cNvPr id="496" name="ID_A162D68F24ED447EB53FBA53AEF9E574"/>
        <xdr:cNvPicPr>
          <a:picLocks noChangeAspect="1" noChangeArrowheads="1"/>
        </xdr:cNvPicPr>
      </xdr:nvPicPr>
      <xdr:blipFill>
        <a:blip r:embed="rId357" cstate="print">
          <a:extLst>
            <a:ext uri="{28A0092B-C50C-407E-A947-70E740481C1C}">
              <a14:useLocalDpi xmlns:a14="http://schemas.microsoft.com/office/drawing/2010/main" val="0"/>
            </a:ext>
          </a:extLst>
        </a:blip>
        <a:srcRect/>
        <a:stretch>
          <a:fillRect/>
        </a:stretch>
      </xdr:blipFill>
      <xdr:spPr>
        <a:xfrm>
          <a:off x="9229725" y="30636210"/>
          <a:ext cx="1314450" cy="98679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97" name="ID_3D915D0EEA0047ACAE06D956FF50A231"/>
        <xdr:cNvPicPr>
          <a:picLocks noChangeAspect="1" noChangeArrowheads="1"/>
        </xdr:cNvPicPr>
      </xdr:nvPicPr>
      <xdr:blipFill>
        <a:blip r:embed="rId358" cstate="print">
          <a:extLst>
            <a:ext uri="{28A0092B-C50C-407E-A947-70E740481C1C}">
              <a14:useLocalDpi xmlns:a14="http://schemas.microsoft.com/office/drawing/2010/main" val="0"/>
            </a:ext>
          </a:extLst>
        </a:blip>
        <a:srcRect/>
        <a:stretch>
          <a:fillRect/>
        </a:stretch>
      </xdr:blipFill>
      <xdr:spPr>
        <a:xfrm>
          <a:off x="9382125" y="31276925"/>
          <a:ext cx="847090" cy="84709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98" name="ID_68FF25D6802048A7B1A50EB277CE2623"/>
        <xdr:cNvPicPr>
          <a:picLocks noChangeAspect="1" noChangeArrowheads="1"/>
        </xdr:cNvPicPr>
      </xdr:nvPicPr>
      <xdr:blipFill>
        <a:blip r:embed="rId359" cstate="print">
          <a:extLst>
            <a:ext uri="{28A0092B-C50C-407E-A947-70E740481C1C}">
              <a14:useLocalDpi xmlns:a14="http://schemas.microsoft.com/office/drawing/2010/main" val="0"/>
            </a:ext>
          </a:extLst>
        </a:blip>
        <a:srcRect/>
        <a:stretch>
          <a:fillRect/>
        </a:stretch>
      </xdr:blipFill>
      <xdr:spPr>
        <a:xfrm>
          <a:off x="9438640" y="31901765"/>
          <a:ext cx="828675" cy="82867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499" name="ID_2FA1FDA45FA94B0E99A237C435017C4E"/>
        <xdr:cNvPicPr>
          <a:picLocks noChangeAspect="1" noChangeArrowheads="1"/>
        </xdr:cNvPicPr>
      </xdr:nvPicPr>
      <xdr:blipFill>
        <a:blip r:embed="rId360" cstate="print">
          <a:extLst>
            <a:ext uri="{28A0092B-C50C-407E-A947-70E740481C1C}">
              <a14:useLocalDpi xmlns:a14="http://schemas.microsoft.com/office/drawing/2010/main" val="0"/>
            </a:ext>
          </a:extLst>
        </a:blip>
        <a:srcRect/>
        <a:stretch>
          <a:fillRect/>
        </a:stretch>
      </xdr:blipFill>
      <xdr:spPr>
        <a:xfrm>
          <a:off x="9547225" y="32556450"/>
          <a:ext cx="634365" cy="63817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00" name="ID_7918D3D8AFA3480D8EF6CA0DADC77C88"/>
        <xdr:cNvPicPr>
          <a:picLocks noChangeAspect="1" noChangeArrowheads="1"/>
        </xdr:cNvPicPr>
      </xdr:nvPicPr>
      <xdr:blipFill>
        <a:blip r:embed="rId361" cstate="print">
          <a:extLst>
            <a:ext uri="{28A0092B-C50C-407E-A947-70E740481C1C}">
              <a14:useLocalDpi xmlns:a14="http://schemas.microsoft.com/office/drawing/2010/main" val="0"/>
            </a:ext>
          </a:extLst>
        </a:blip>
        <a:srcRect/>
        <a:stretch>
          <a:fillRect/>
        </a:stretch>
      </xdr:blipFill>
      <xdr:spPr>
        <a:xfrm>
          <a:off x="9400540" y="33171765"/>
          <a:ext cx="809625" cy="80962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01" name="ID_FECCB5EC6D254C18824A15690E53D913"/>
        <xdr:cNvPicPr>
          <a:picLocks noChangeAspect="1"/>
        </xdr:cNvPicPr>
      </xdr:nvPicPr>
      <xdr:blipFill>
        <a:blip r:embed="rId362"/>
        <a:stretch>
          <a:fillRect/>
        </a:stretch>
      </xdr:blipFill>
      <xdr:spPr>
        <a:xfrm>
          <a:off x="9582150" y="33855025"/>
          <a:ext cx="487680" cy="615315"/>
        </a:xfrm>
        <a:prstGeom prst="rect">
          <a:avLst/>
        </a:prstGeom>
      </xdr:spPr>
    </xdr:pic>
  </etc:cellImage>
  <etc:cellImage>
    <xdr:pic>
      <xdr:nvPicPr>
        <xdr:cNvPr id="502" name="ID_2559134295084289A5BD0138F4F3E563"/>
        <xdr:cNvPicPr>
          <a:picLocks noChangeAspect="1"/>
        </xdr:cNvPicPr>
      </xdr:nvPicPr>
      <xdr:blipFill>
        <a:blip r:embed="rId363"/>
        <a:stretch>
          <a:fillRect/>
        </a:stretch>
      </xdr:blipFill>
      <xdr:spPr>
        <a:xfrm>
          <a:off x="9410700" y="34423350"/>
          <a:ext cx="908050" cy="786130"/>
        </a:xfrm>
        <a:prstGeom prst="rect">
          <a:avLst/>
        </a:prstGeom>
      </xdr:spPr>
    </xdr:pic>
  </etc:cellImage>
  <etc:cellImage>
    <xdr:pic>
      <xdr:nvPicPr>
        <xdr:cNvPr id="503" name="ID_A03647E6632847F3BBE1D192AC7037E4"/>
        <xdr:cNvPicPr>
          <a:picLocks noChangeAspect="1"/>
        </xdr:cNvPicPr>
      </xdr:nvPicPr>
      <xdr:blipFill>
        <a:blip r:embed="rId364"/>
        <a:stretch>
          <a:fillRect/>
        </a:stretch>
      </xdr:blipFill>
      <xdr:spPr>
        <a:xfrm>
          <a:off x="9363075" y="35010725"/>
          <a:ext cx="853440" cy="932180"/>
        </a:xfrm>
        <a:prstGeom prst="rect">
          <a:avLst/>
        </a:prstGeom>
      </xdr:spPr>
    </xdr:pic>
  </etc:cellImage>
  <etc:cellImage>
    <xdr:pic>
      <xdr:nvPicPr>
        <xdr:cNvPr id="504" name="ID_FD7DB52A9BD74576BF0DB0B4D6B07AEE"/>
        <xdr:cNvPicPr>
          <a:picLocks noChangeAspect="1" noChangeArrowheads="1"/>
        </xdr:cNvPicPr>
      </xdr:nvPicPr>
      <xdr:blipFill>
        <a:blip r:embed="rId365" cstate="print">
          <a:extLst>
            <a:ext uri="{28A0092B-C50C-407E-A947-70E740481C1C}">
              <a14:useLocalDpi xmlns:a14="http://schemas.microsoft.com/office/drawing/2010/main" val="0"/>
            </a:ext>
          </a:extLst>
        </a:blip>
        <a:srcRect/>
        <a:stretch>
          <a:fillRect/>
        </a:stretch>
      </xdr:blipFill>
      <xdr:spPr>
        <a:xfrm>
          <a:off x="9496425" y="35626675"/>
          <a:ext cx="866140" cy="86614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05" name="ID_BDB29088D2D14DD78C858E0C3E4D748F"/>
        <xdr:cNvPicPr>
          <a:picLocks noChangeAspect="1"/>
        </xdr:cNvPicPr>
      </xdr:nvPicPr>
      <xdr:blipFill>
        <a:blip r:embed="rId366" cstate="print"/>
        <a:stretch>
          <a:fillRect/>
        </a:stretch>
      </xdr:blipFill>
      <xdr:spPr>
        <a:xfrm>
          <a:off x="9534525" y="36461700"/>
          <a:ext cx="589280" cy="648335"/>
        </a:xfrm>
        <a:prstGeom prst="rect">
          <a:avLst/>
        </a:prstGeom>
        <a:noFill/>
        <a:ln w="1">
          <a:noFill/>
        </a:ln>
      </xdr:spPr>
    </xdr:pic>
  </etc:cellImage>
  <etc:cellImage>
    <xdr:pic>
      <xdr:nvPicPr>
        <xdr:cNvPr id="507" name="ID_677B5DB8BF944DA0B13FC75C77A5BA85"/>
        <xdr:cNvPicPr>
          <a:picLocks noChangeAspect="1"/>
        </xdr:cNvPicPr>
      </xdr:nvPicPr>
      <xdr:blipFill>
        <a:blip r:embed="rId367"/>
        <a:stretch>
          <a:fillRect/>
        </a:stretch>
      </xdr:blipFill>
      <xdr:spPr>
        <a:xfrm>
          <a:off x="9553575" y="36963350"/>
          <a:ext cx="621665" cy="804545"/>
        </a:xfrm>
        <a:prstGeom prst="rect">
          <a:avLst/>
        </a:prstGeom>
      </xdr:spPr>
    </xdr:pic>
  </etc:cellImage>
  <etc:cellImage>
    <xdr:pic>
      <xdr:nvPicPr>
        <xdr:cNvPr id="508" name="ID_68BD7C4459DD40918544E95D84458043"/>
        <xdr:cNvPicPr>
          <a:picLocks noChangeAspect="1"/>
        </xdr:cNvPicPr>
      </xdr:nvPicPr>
      <xdr:blipFill>
        <a:blip r:embed="rId368"/>
        <a:stretch>
          <a:fillRect/>
        </a:stretch>
      </xdr:blipFill>
      <xdr:spPr>
        <a:xfrm>
          <a:off x="9344025" y="37550725"/>
          <a:ext cx="1066800" cy="676275"/>
        </a:xfrm>
        <a:prstGeom prst="rect">
          <a:avLst/>
        </a:prstGeom>
      </xdr:spPr>
    </xdr:pic>
  </etc:cellImage>
  <etc:cellImage>
    <xdr:pic>
      <xdr:nvPicPr>
        <xdr:cNvPr id="509" name="ID_E204CBC1FC3C45D188E66289F2A0A199"/>
        <xdr:cNvPicPr>
          <a:picLocks noChangeAspect="1" noChangeArrowheads="1"/>
        </xdr:cNvPicPr>
      </xdr:nvPicPr>
      <xdr:blipFill>
        <a:blip r:embed="rId369" cstate="print">
          <a:extLst>
            <a:ext uri="{28A0092B-C50C-407E-A947-70E740481C1C}">
              <a14:useLocalDpi xmlns:a14="http://schemas.microsoft.com/office/drawing/2010/main" val="0"/>
            </a:ext>
          </a:extLst>
        </a:blip>
        <a:srcRect/>
        <a:stretch>
          <a:fillRect/>
        </a:stretch>
      </xdr:blipFill>
      <xdr:spPr>
        <a:xfrm>
          <a:off x="9476740" y="38394640"/>
          <a:ext cx="866775" cy="86677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10" name="ID_EC8858B336B94E04800DD62B7BE49C38"/>
        <xdr:cNvPicPr>
          <a:picLocks noChangeAspect="1"/>
        </xdr:cNvPicPr>
      </xdr:nvPicPr>
      <xdr:blipFill>
        <a:blip r:embed="rId370"/>
        <a:stretch>
          <a:fillRect/>
        </a:stretch>
      </xdr:blipFill>
      <xdr:spPr>
        <a:xfrm>
          <a:off x="9363075" y="39703375"/>
          <a:ext cx="1011555" cy="335280"/>
        </a:xfrm>
        <a:prstGeom prst="rect">
          <a:avLst/>
        </a:prstGeom>
      </xdr:spPr>
    </xdr:pic>
  </etc:cellImage>
  <etc:cellImage>
    <xdr:pic>
      <xdr:nvPicPr>
        <xdr:cNvPr id="511" name="ID_167BC11229F24601831A5D34F2A928FE"/>
        <xdr:cNvPicPr>
          <a:picLocks noChangeAspect="1"/>
        </xdr:cNvPicPr>
      </xdr:nvPicPr>
      <xdr:blipFill>
        <a:blip r:embed="rId371"/>
        <a:stretch>
          <a:fillRect/>
        </a:stretch>
      </xdr:blipFill>
      <xdr:spPr>
        <a:xfrm>
          <a:off x="9363075" y="40090725"/>
          <a:ext cx="950595" cy="609600"/>
        </a:xfrm>
        <a:prstGeom prst="rect">
          <a:avLst/>
        </a:prstGeom>
      </xdr:spPr>
    </xdr:pic>
  </etc:cellImage>
  <etc:cellImage>
    <xdr:pic>
      <xdr:nvPicPr>
        <xdr:cNvPr id="512" name="ID_24FAFF1A92484C54B2D0F698A977D3CC"/>
        <xdr:cNvPicPr>
          <a:picLocks noChangeAspect="1"/>
        </xdr:cNvPicPr>
      </xdr:nvPicPr>
      <xdr:blipFill>
        <a:blip r:embed="rId372"/>
        <a:stretch>
          <a:fillRect/>
        </a:stretch>
      </xdr:blipFill>
      <xdr:spPr>
        <a:xfrm>
          <a:off x="9372600" y="40763825"/>
          <a:ext cx="1005840" cy="560705"/>
        </a:xfrm>
        <a:prstGeom prst="rect">
          <a:avLst/>
        </a:prstGeom>
      </xdr:spPr>
    </xdr:pic>
  </etc:cellImage>
  <etc:cellImage>
    <xdr:pic>
      <xdr:nvPicPr>
        <xdr:cNvPr id="513" name="ID_57A70F22E78B4A8488B6B7CF28ABE2FF"/>
        <xdr:cNvPicPr>
          <a:picLocks noChangeAspect="1"/>
        </xdr:cNvPicPr>
      </xdr:nvPicPr>
      <xdr:blipFill>
        <a:blip r:embed="rId373"/>
        <a:stretch>
          <a:fillRect/>
        </a:stretch>
      </xdr:blipFill>
      <xdr:spPr>
        <a:xfrm>
          <a:off x="9715500" y="41379775"/>
          <a:ext cx="469265" cy="816610"/>
        </a:xfrm>
        <a:prstGeom prst="rect">
          <a:avLst/>
        </a:prstGeom>
      </xdr:spPr>
    </xdr:pic>
  </etc:cellImage>
  <etc:cellImage>
    <xdr:pic>
      <xdr:nvPicPr>
        <xdr:cNvPr id="514" name="ID_93CCA33E6B92449197D8441A0CA6BFC7"/>
        <xdr:cNvPicPr>
          <a:picLocks noChangeAspect="1"/>
        </xdr:cNvPicPr>
      </xdr:nvPicPr>
      <xdr:blipFill>
        <a:blip r:embed="rId374"/>
        <a:stretch>
          <a:fillRect/>
        </a:stretch>
      </xdr:blipFill>
      <xdr:spPr>
        <a:xfrm>
          <a:off x="9582150" y="42090975"/>
          <a:ext cx="530225" cy="774065"/>
        </a:xfrm>
        <a:prstGeom prst="rect">
          <a:avLst/>
        </a:prstGeom>
      </xdr:spPr>
    </xdr:pic>
  </etc:cellImage>
  <etc:cellImage>
    <xdr:pic>
      <xdr:nvPicPr>
        <xdr:cNvPr id="515" name="ID_9636253AF36D422EAD97EF33DB39373A"/>
        <xdr:cNvPicPr>
          <a:picLocks noChangeAspect="1"/>
        </xdr:cNvPicPr>
      </xdr:nvPicPr>
      <xdr:blipFill>
        <a:blip r:embed="rId375"/>
        <a:stretch>
          <a:fillRect/>
        </a:stretch>
      </xdr:blipFill>
      <xdr:spPr>
        <a:xfrm>
          <a:off x="9467850" y="42635170"/>
          <a:ext cx="571500" cy="927735"/>
        </a:xfrm>
        <a:prstGeom prst="rect">
          <a:avLst/>
        </a:prstGeom>
      </xdr:spPr>
    </xdr:pic>
  </etc:cellImage>
  <etc:cellImage>
    <xdr:pic>
      <xdr:nvPicPr>
        <xdr:cNvPr id="516" name="ID_049651748F224882A947A81A79448045"/>
        <xdr:cNvPicPr>
          <a:picLocks noChangeAspect="1"/>
        </xdr:cNvPicPr>
      </xdr:nvPicPr>
      <xdr:blipFill>
        <a:blip r:embed="rId376"/>
        <a:stretch>
          <a:fillRect/>
        </a:stretch>
      </xdr:blipFill>
      <xdr:spPr>
        <a:xfrm>
          <a:off x="9382125" y="43189525"/>
          <a:ext cx="1060450" cy="810260"/>
        </a:xfrm>
        <a:prstGeom prst="rect">
          <a:avLst/>
        </a:prstGeom>
      </xdr:spPr>
    </xdr:pic>
  </etc:cellImage>
  <etc:cellImage>
    <xdr:pic>
      <xdr:nvPicPr>
        <xdr:cNvPr id="517" name="ID_3AD0191110F34A5CB851DDA8893A025A"/>
        <xdr:cNvPicPr>
          <a:picLocks noChangeAspect="1"/>
        </xdr:cNvPicPr>
      </xdr:nvPicPr>
      <xdr:blipFill>
        <a:blip r:embed="rId377"/>
        <a:stretch>
          <a:fillRect/>
        </a:stretch>
      </xdr:blipFill>
      <xdr:spPr>
        <a:xfrm>
          <a:off x="9315450" y="43891200"/>
          <a:ext cx="901700" cy="706755"/>
        </a:xfrm>
        <a:prstGeom prst="rect">
          <a:avLst/>
        </a:prstGeom>
      </xdr:spPr>
    </xdr:pic>
  </etc:cellImage>
  <etc:cellImage>
    <xdr:pic>
      <xdr:nvPicPr>
        <xdr:cNvPr id="518" name="ID_ADA63BE315E84148B2B393286CC86378"/>
        <xdr:cNvPicPr>
          <a:picLocks noChangeAspect="1"/>
        </xdr:cNvPicPr>
      </xdr:nvPicPr>
      <xdr:blipFill>
        <a:blip r:embed="rId378"/>
        <a:stretch>
          <a:fillRect/>
        </a:stretch>
      </xdr:blipFill>
      <xdr:spPr>
        <a:xfrm>
          <a:off x="9610725" y="44497625"/>
          <a:ext cx="457200" cy="895985"/>
        </a:xfrm>
        <a:prstGeom prst="rect">
          <a:avLst/>
        </a:prstGeom>
      </xdr:spPr>
    </xdr:pic>
  </etc:cellImage>
  <etc:cellImage>
    <xdr:pic>
      <xdr:nvPicPr>
        <xdr:cNvPr id="519" name="ID_74BA38B88CAB4375B2A1D8936BB82ACC"/>
        <xdr:cNvPicPr>
          <a:picLocks noChangeAspect="1"/>
        </xdr:cNvPicPr>
      </xdr:nvPicPr>
      <xdr:blipFill>
        <a:blip r:embed="rId379"/>
        <a:stretch>
          <a:fillRect/>
        </a:stretch>
      </xdr:blipFill>
      <xdr:spPr>
        <a:xfrm>
          <a:off x="9391650" y="45237400"/>
          <a:ext cx="786130" cy="932180"/>
        </a:xfrm>
        <a:prstGeom prst="rect">
          <a:avLst/>
        </a:prstGeom>
      </xdr:spPr>
    </xdr:pic>
  </etc:cellImage>
  <etc:cellImage>
    <xdr:pic>
      <xdr:nvPicPr>
        <xdr:cNvPr id="520" name="ID_A380DF13DEEE4876B8ECAEB325F631C9"/>
        <xdr:cNvPicPr>
          <a:picLocks noChangeAspect="1"/>
        </xdr:cNvPicPr>
      </xdr:nvPicPr>
      <xdr:blipFill>
        <a:blip r:embed="rId380"/>
        <a:stretch>
          <a:fillRect/>
        </a:stretch>
      </xdr:blipFill>
      <xdr:spPr>
        <a:xfrm>
          <a:off x="9496425" y="46101000"/>
          <a:ext cx="615315" cy="499745"/>
        </a:xfrm>
        <a:prstGeom prst="rect">
          <a:avLst/>
        </a:prstGeom>
      </xdr:spPr>
    </xdr:pic>
  </etc:cellImage>
  <etc:cellImage>
    <xdr:pic>
      <xdr:nvPicPr>
        <xdr:cNvPr id="521" name="ID_2A4322864EC34F35929DFAD2F929D4EF"/>
        <xdr:cNvPicPr>
          <a:picLocks noChangeAspect="1"/>
        </xdr:cNvPicPr>
      </xdr:nvPicPr>
      <xdr:blipFill>
        <a:blip r:embed="rId381"/>
        <a:stretch>
          <a:fillRect/>
        </a:stretch>
      </xdr:blipFill>
      <xdr:spPr>
        <a:xfrm>
          <a:off x="9410700" y="46516925"/>
          <a:ext cx="657860" cy="535940"/>
        </a:xfrm>
        <a:prstGeom prst="rect">
          <a:avLst/>
        </a:prstGeom>
      </xdr:spPr>
    </xdr:pic>
  </etc:cellImage>
  <etc:cellImage>
    <xdr:pic>
      <xdr:nvPicPr>
        <xdr:cNvPr id="522" name="ID_EB905321431C4196A76C08F328592D46"/>
        <xdr:cNvPicPr>
          <a:picLocks noChangeAspect="1"/>
        </xdr:cNvPicPr>
      </xdr:nvPicPr>
      <xdr:blipFill>
        <a:blip r:embed="rId382" cstate="print"/>
        <a:stretch>
          <a:fillRect/>
        </a:stretch>
      </xdr:blipFill>
      <xdr:spPr>
        <a:xfrm>
          <a:off x="9629775" y="47221775"/>
          <a:ext cx="553720" cy="534035"/>
        </a:xfrm>
        <a:prstGeom prst="rect">
          <a:avLst/>
        </a:prstGeom>
        <a:noFill/>
        <a:ln w="1">
          <a:noFill/>
        </a:ln>
      </xdr:spPr>
    </xdr:pic>
  </etc:cellImage>
  <etc:cellImage>
    <xdr:pic>
      <xdr:nvPicPr>
        <xdr:cNvPr id="523" name="ID_71219FE6B03B410DBF0FF3DD9623992C"/>
        <xdr:cNvPicPr>
          <a:picLocks noChangeAspect="1"/>
        </xdr:cNvPicPr>
      </xdr:nvPicPr>
      <xdr:blipFill>
        <a:blip r:embed="rId383"/>
        <a:stretch>
          <a:fillRect/>
        </a:stretch>
      </xdr:blipFill>
      <xdr:spPr>
        <a:xfrm>
          <a:off x="9305925" y="47729775"/>
          <a:ext cx="1072515" cy="804545"/>
        </a:xfrm>
        <a:prstGeom prst="rect">
          <a:avLst/>
        </a:prstGeom>
      </xdr:spPr>
    </xdr:pic>
  </etc:cellImage>
  <etc:cellImage>
    <xdr:pic>
      <xdr:nvPicPr>
        <xdr:cNvPr id="524" name="ID_939A9237F86445E5A98FFC8119414566"/>
        <xdr:cNvPicPr>
          <a:picLocks noChangeAspect="1"/>
        </xdr:cNvPicPr>
      </xdr:nvPicPr>
      <xdr:blipFill>
        <a:blip r:embed="rId384"/>
        <a:stretch>
          <a:fillRect/>
        </a:stretch>
      </xdr:blipFill>
      <xdr:spPr>
        <a:xfrm>
          <a:off x="9496425" y="48536225"/>
          <a:ext cx="676275" cy="755650"/>
        </a:xfrm>
        <a:prstGeom prst="rect">
          <a:avLst/>
        </a:prstGeom>
      </xdr:spPr>
    </xdr:pic>
  </etc:cellImage>
  <etc:cellImage>
    <xdr:pic>
      <xdr:nvPicPr>
        <xdr:cNvPr id="525" name="ID_DE7C3294949A4CE3A433F6F068E26BB8"/>
        <xdr:cNvPicPr>
          <a:picLocks noChangeAspect="1"/>
        </xdr:cNvPicPr>
      </xdr:nvPicPr>
      <xdr:blipFill>
        <a:blip r:embed="rId385"/>
        <a:stretch>
          <a:fillRect/>
        </a:stretch>
      </xdr:blipFill>
      <xdr:spPr>
        <a:xfrm>
          <a:off x="9410700" y="49285525"/>
          <a:ext cx="871220" cy="228600"/>
        </a:xfrm>
        <a:prstGeom prst="rect">
          <a:avLst/>
        </a:prstGeom>
      </xdr:spPr>
    </xdr:pic>
  </etc:cellImage>
  <etc:cellImage>
    <xdr:pic>
      <xdr:nvPicPr>
        <xdr:cNvPr id="526" name="ID_F3E6065E4A0D48E4AC314E9216E012B4"/>
        <xdr:cNvPicPr>
          <a:picLocks noChangeAspect="1" noChangeArrowheads="1"/>
        </xdr:cNvPicPr>
      </xdr:nvPicPr>
      <xdr:blipFill>
        <a:blip r:embed="rId386" cstate="print">
          <a:extLst>
            <a:ext uri="{28A0092B-C50C-407E-A947-70E740481C1C}">
              <a14:useLocalDpi xmlns:a14="http://schemas.microsoft.com/office/drawing/2010/main" val="0"/>
            </a:ext>
          </a:extLst>
        </a:blip>
        <a:srcRect/>
        <a:stretch>
          <a:fillRect/>
        </a:stretch>
      </xdr:blipFill>
      <xdr:spPr>
        <a:xfrm rot="16370294">
          <a:off x="9657715" y="49540795"/>
          <a:ext cx="523875" cy="94107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27" name="ID_30447D7E9D3A49719FE43AE997FDFBD6"/>
        <xdr:cNvPicPr>
          <a:picLocks noChangeAspect="1"/>
        </xdr:cNvPicPr>
      </xdr:nvPicPr>
      <xdr:blipFill>
        <a:blip r:embed="rId387"/>
        <a:stretch>
          <a:fillRect/>
        </a:stretch>
      </xdr:blipFill>
      <xdr:spPr>
        <a:xfrm>
          <a:off x="9363075" y="50565050"/>
          <a:ext cx="938530" cy="139700"/>
        </a:xfrm>
        <a:prstGeom prst="rect">
          <a:avLst/>
        </a:prstGeom>
      </xdr:spPr>
    </xdr:pic>
  </etc:cellImage>
  <etc:cellImage>
    <xdr:pic>
      <xdr:nvPicPr>
        <xdr:cNvPr id="528" name="ID_166296E0F1FF41C7BA3D02DDD0A7D6BF"/>
        <xdr:cNvPicPr>
          <a:picLocks noChangeAspect="1"/>
        </xdr:cNvPicPr>
      </xdr:nvPicPr>
      <xdr:blipFill>
        <a:blip r:embed="rId388"/>
        <a:stretch>
          <a:fillRect/>
        </a:stretch>
      </xdr:blipFill>
      <xdr:spPr>
        <a:xfrm>
          <a:off x="9448800" y="50923825"/>
          <a:ext cx="579120" cy="828675"/>
        </a:xfrm>
        <a:prstGeom prst="rect">
          <a:avLst/>
        </a:prstGeom>
      </xdr:spPr>
    </xdr:pic>
  </etc:cellImage>
  <etc:cellImage>
    <xdr:pic>
      <xdr:nvPicPr>
        <xdr:cNvPr id="529" name="ID_DD70A384A09D4E748F0014DC7A6BA640"/>
        <xdr:cNvPicPr>
          <a:picLocks noChangeAspect="1"/>
        </xdr:cNvPicPr>
      </xdr:nvPicPr>
      <xdr:blipFill>
        <a:blip r:embed="rId389"/>
        <a:stretch>
          <a:fillRect/>
        </a:stretch>
      </xdr:blipFill>
      <xdr:spPr>
        <a:xfrm>
          <a:off x="9591675" y="51730275"/>
          <a:ext cx="615315" cy="901700"/>
        </a:xfrm>
        <a:prstGeom prst="rect">
          <a:avLst/>
        </a:prstGeom>
      </xdr:spPr>
    </xdr:pic>
  </etc:cellImage>
  <etc:cellImage>
    <xdr:pic>
      <xdr:nvPicPr>
        <xdr:cNvPr id="530" name="ID_9BB05EDFE52D4C888A869D3D04835AAE"/>
        <xdr:cNvPicPr>
          <a:picLocks noChangeAspect="1"/>
        </xdr:cNvPicPr>
      </xdr:nvPicPr>
      <xdr:blipFill>
        <a:blip r:embed="rId390"/>
        <a:stretch>
          <a:fillRect/>
        </a:stretch>
      </xdr:blipFill>
      <xdr:spPr>
        <a:xfrm>
          <a:off x="9505950" y="52117625"/>
          <a:ext cx="743585" cy="682625"/>
        </a:xfrm>
        <a:prstGeom prst="rect">
          <a:avLst/>
        </a:prstGeom>
      </xdr:spPr>
    </xdr:pic>
  </etc:cellImage>
  <etc:cellImage>
    <xdr:pic>
      <xdr:nvPicPr>
        <xdr:cNvPr id="531" name="ID_AB1C7E3623D6462D89FC11F10FD094C5"/>
        <xdr:cNvPicPr>
          <a:picLocks noChangeAspect="1" noChangeArrowheads="1"/>
        </xdr:cNvPicPr>
      </xdr:nvPicPr>
      <xdr:blipFill>
        <a:blip r:embed="rId391" cstate="print">
          <a:extLst>
            <a:ext uri="{28A0092B-C50C-407E-A947-70E740481C1C}">
              <a14:useLocalDpi xmlns:a14="http://schemas.microsoft.com/office/drawing/2010/main" val="0"/>
            </a:ext>
          </a:extLst>
        </a:blip>
        <a:srcRect/>
        <a:stretch>
          <a:fillRect/>
        </a:stretch>
      </xdr:blipFill>
      <xdr:spPr>
        <a:xfrm>
          <a:off x="9429750" y="52781200"/>
          <a:ext cx="742315" cy="74231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32" name="ID_4432C3043F1C42B08E5B1E26897B994F"/>
        <xdr:cNvPicPr>
          <a:picLocks noChangeAspect="1" noChangeArrowheads="1"/>
        </xdr:cNvPicPr>
      </xdr:nvPicPr>
      <xdr:blipFill>
        <a:blip r:embed="rId392" cstate="print">
          <a:extLst>
            <a:ext uri="{28A0092B-C50C-407E-A947-70E740481C1C}">
              <a14:useLocalDpi xmlns:a14="http://schemas.microsoft.com/office/drawing/2010/main" val="0"/>
            </a:ext>
          </a:extLst>
        </a:blip>
        <a:srcRect/>
        <a:stretch>
          <a:fillRect/>
        </a:stretch>
      </xdr:blipFill>
      <xdr:spPr>
        <a:xfrm>
          <a:off x="9533890" y="53453665"/>
          <a:ext cx="733425" cy="73342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33" name="ID_828C50459CCB44CF888D6C5D1A3B1817"/>
        <xdr:cNvPicPr>
          <a:picLocks noChangeAspect="1" noChangeArrowheads="1"/>
        </xdr:cNvPicPr>
      </xdr:nvPicPr>
      <xdr:blipFill>
        <a:blip r:embed="rId393" cstate="print">
          <a:extLst>
            <a:ext uri="{28A0092B-C50C-407E-A947-70E740481C1C}">
              <a14:useLocalDpi xmlns:a14="http://schemas.microsoft.com/office/drawing/2010/main" val="0"/>
            </a:ext>
          </a:extLst>
        </a:blip>
        <a:srcRect/>
        <a:stretch>
          <a:fillRect/>
        </a:stretch>
      </xdr:blipFill>
      <xdr:spPr>
        <a:xfrm>
          <a:off x="9476740" y="54050565"/>
          <a:ext cx="781685" cy="78168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34" name="ID_7C7584348B0C4EDD9E45E9E3BAD27D31"/>
        <xdr:cNvPicPr>
          <a:picLocks noChangeAspect="1" noChangeArrowheads="1"/>
        </xdr:cNvPicPr>
      </xdr:nvPicPr>
      <xdr:blipFill>
        <a:blip r:embed="rId394" cstate="print">
          <a:extLst>
            <a:ext uri="{28A0092B-C50C-407E-A947-70E740481C1C}">
              <a14:useLocalDpi xmlns:a14="http://schemas.microsoft.com/office/drawing/2010/main" val="0"/>
            </a:ext>
          </a:extLst>
        </a:blip>
        <a:srcRect/>
        <a:stretch>
          <a:fillRect/>
        </a:stretch>
      </xdr:blipFill>
      <xdr:spPr>
        <a:xfrm>
          <a:off x="9505315" y="54742715"/>
          <a:ext cx="771525" cy="771525"/>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35" name="ID_5683E843BBCE46A7A62029EDEBFF1A37"/>
        <xdr:cNvPicPr>
          <a:picLocks noChangeAspect="1" noChangeArrowheads="1"/>
        </xdr:cNvPicPr>
      </xdr:nvPicPr>
      <xdr:blipFill>
        <a:blip r:embed="rId395" cstate="print">
          <a:extLst>
            <a:ext uri="{28A0092B-C50C-407E-A947-70E740481C1C}">
              <a14:useLocalDpi xmlns:a14="http://schemas.microsoft.com/office/drawing/2010/main" val="0"/>
            </a:ext>
          </a:extLst>
        </a:blip>
        <a:srcRect/>
        <a:stretch>
          <a:fillRect/>
        </a:stretch>
      </xdr:blipFill>
      <xdr:spPr>
        <a:xfrm>
          <a:off x="9486265" y="55368190"/>
          <a:ext cx="867410" cy="86741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36" name="ID_AFEF4F59D171483C85C64EF5C467EC15"/>
        <xdr:cNvPicPr>
          <a:picLocks noChangeAspect="1"/>
        </xdr:cNvPicPr>
      </xdr:nvPicPr>
      <xdr:blipFill>
        <a:blip r:embed="rId396"/>
        <a:stretch>
          <a:fillRect/>
        </a:stretch>
      </xdr:blipFill>
      <xdr:spPr>
        <a:xfrm>
          <a:off x="9382125" y="56060975"/>
          <a:ext cx="962660" cy="548640"/>
        </a:xfrm>
        <a:prstGeom prst="rect">
          <a:avLst/>
        </a:prstGeom>
      </xdr:spPr>
    </xdr:pic>
  </etc:cellImage>
  <etc:cellImage>
    <xdr:pic>
      <xdr:nvPicPr>
        <xdr:cNvPr id="537" name="ID_76C218783EFE45ACB7D040A972BFAC64"/>
        <xdr:cNvPicPr>
          <a:picLocks noChangeAspect="1"/>
        </xdr:cNvPicPr>
      </xdr:nvPicPr>
      <xdr:blipFill>
        <a:blip r:embed="rId397"/>
        <a:stretch>
          <a:fillRect/>
        </a:stretch>
      </xdr:blipFill>
      <xdr:spPr>
        <a:xfrm>
          <a:off x="9572625" y="56619775"/>
          <a:ext cx="584835" cy="523875"/>
        </a:xfrm>
        <a:prstGeom prst="rect">
          <a:avLst/>
        </a:prstGeom>
      </xdr:spPr>
    </xdr:pic>
  </etc:cellImage>
  <etc:cellImage>
    <xdr:pic>
      <xdr:nvPicPr>
        <xdr:cNvPr id="538" name="ID_556EEAF625244630A3BB7BBABAF7519A"/>
        <xdr:cNvPicPr>
          <a:picLocks noChangeAspect="1" noChangeArrowheads="1"/>
        </xdr:cNvPicPr>
      </xdr:nvPicPr>
      <xdr:blipFill>
        <a:blip r:embed="rId398" cstate="print">
          <a:extLst>
            <a:ext uri="{28A0092B-C50C-407E-A947-70E740481C1C}">
              <a14:useLocalDpi xmlns:a14="http://schemas.microsoft.com/office/drawing/2010/main" val="0"/>
            </a:ext>
          </a:extLst>
        </a:blip>
        <a:srcRect/>
        <a:stretch>
          <a:fillRect/>
        </a:stretch>
      </xdr:blipFill>
      <xdr:spPr>
        <a:xfrm>
          <a:off x="9524365" y="57263665"/>
          <a:ext cx="704850" cy="70485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539" name="ID_B179B5ABDF30496CA2F76A7C22603972"/>
        <xdr:cNvPicPr>
          <a:picLocks noChangeAspect="1"/>
        </xdr:cNvPicPr>
      </xdr:nvPicPr>
      <xdr:blipFill>
        <a:blip r:embed="rId399"/>
        <a:stretch>
          <a:fillRect/>
        </a:stretch>
      </xdr:blipFill>
      <xdr:spPr>
        <a:xfrm>
          <a:off x="9553575" y="57832625"/>
          <a:ext cx="731520" cy="969010"/>
        </a:xfrm>
        <a:prstGeom prst="rect">
          <a:avLst/>
        </a:prstGeom>
      </xdr:spPr>
    </xdr:pic>
  </etc:cellImage>
  <etc:cellImage>
    <xdr:pic>
      <xdr:nvPicPr>
        <xdr:cNvPr id="540" name="ID_480335A419504D2A918A76D2E02FA33E"/>
        <xdr:cNvPicPr>
          <a:picLocks noChangeAspect="1"/>
        </xdr:cNvPicPr>
      </xdr:nvPicPr>
      <xdr:blipFill>
        <a:blip r:embed="rId400"/>
        <a:stretch>
          <a:fillRect/>
        </a:stretch>
      </xdr:blipFill>
      <xdr:spPr>
        <a:xfrm>
          <a:off x="9439275" y="58543825"/>
          <a:ext cx="743585" cy="944880"/>
        </a:xfrm>
        <a:prstGeom prst="rect">
          <a:avLst/>
        </a:prstGeom>
      </xdr:spPr>
    </xdr:pic>
  </etc:cellImage>
  <etc:cellImage>
    <xdr:pic>
      <xdr:nvPicPr>
        <xdr:cNvPr id="541" name="ID_8BD1DA4E95874461AE19C574DD380490"/>
        <xdr:cNvPicPr>
          <a:picLocks noChangeAspect="1"/>
        </xdr:cNvPicPr>
      </xdr:nvPicPr>
      <xdr:blipFill>
        <a:blip r:embed="rId401"/>
        <a:stretch>
          <a:fillRect/>
        </a:stretch>
      </xdr:blipFill>
      <xdr:spPr>
        <a:xfrm>
          <a:off x="9486900" y="59255025"/>
          <a:ext cx="713105" cy="609600"/>
        </a:xfrm>
        <a:prstGeom prst="rect">
          <a:avLst/>
        </a:prstGeom>
      </xdr:spPr>
    </xdr:pic>
  </etc:cellImage>
  <etc:cellImage>
    <xdr:pic>
      <xdr:nvPicPr>
        <xdr:cNvPr id="542" name="ID_B1A86A4706924B42BDD1E90E4B6DBEC5"/>
        <xdr:cNvPicPr>
          <a:picLocks noChangeAspect="1" noChangeArrowheads="1"/>
        </xdr:cNvPicPr>
      </xdr:nvPicPr>
      <xdr:blipFill>
        <a:blip r:embed="rId402" cstate="print">
          <a:extLst>
            <a:ext uri="{28A0092B-C50C-407E-A947-70E740481C1C}">
              <a14:useLocalDpi xmlns:a14="http://schemas.microsoft.com/office/drawing/2010/main" val="0"/>
            </a:ext>
          </a:extLst>
        </a:blip>
        <a:srcRect/>
        <a:stretch>
          <a:fillRect/>
        </a:stretch>
      </xdr:blipFill>
      <xdr:spPr>
        <a:xfrm>
          <a:off x="9533890" y="60434855"/>
          <a:ext cx="600075" cy="975360"/>
        </a:xfrm>
        <a:prstGeom prst="rect">
          <a:avLst/>
        </a:prstGeom>
        <a:noFill/>
        <a:extLst>
          <a:ext uri="{909E8E84-426E-40DD-AFC4-6F175D3DCCD1}">
            <a14:hiddenFill xmlns:a14="http://schemas.microsoft.com/office/drawing/2010/main">
              <a:solidFill>
                <a:srgbClr val="FFFFFF"/>
              </a:solidFill>
            </a14:hiddenFill>
          </a:ext>
        </a:extLst>
      </xdr:spPr>
    </xdr:pic>
  </etc:cellImage>
  <etc:cellImage>
    <xdr:pic>
      <xdr:nvPicPr>
        <xdr:cNvPr id="187" name="ID_4484D31038E14C47877238F7E5E08009" descr="网椅018"/>
        <xdr:cNvPicPr/>
      </xdr:nvPicPr>
      <xdr:blipFill>
        <a:blip r:embed="rId403"/>
        <a:stretch>
          <a:fillRect/>
        </a:stretch>
      </xdr:blipFill>
      <xdr:spPr>
        <a:xfrm>
          <a:off x="0" y="0"/>
          <a:ext cx="6736715" cy="10058400"/>
        </a:xfrm>
        <a:prstGeom prst="rect">
          <a:avLst/>
        </a:prstGeom>
      </xdr:spPr>
    </xdr:pic>
  </etc:cellImage>
  <etc:cellImage>
    <xdr:pic>
      <xdr:nvPicPr>
        <xdr:cNvPr id="58" name="ID_CFFB93DCF828430294512ECEB5D5E488"/>
        <xdr:cNvPicPr>
          <a:picLocks noChangeAspect="1"/>
        </xdr:cNvPicPr>
      </xdr:nvPicPr>
      <xdr:blipFill>
        <a:blip r:embed="rId404"/>
        <a:stretch>
          <a:fillRect/>
        </a:stretch>
      </xdr:blipFill>
      <xdr:spPr>
        <a:xfrm>
          <a:off x="1924050" y="3314700"/>
          <a:ext cx="800100" cy="622300"/>
        </a:xfrm>
        <a:prstGeom prst="rect">
          <a:avLst/>
        </a:prstGeom>
        <a:noFill/>
        <a:ln w="9525">
          <a:noFill/>
        </a:ln>
      </xdr:spPr>
    </xdr:pic>
  </etc:cellImage>
  <etc:cellImage>
    <xdr:pic>
      <xdr:nvPicPr>
        <xdr:cNvPr id="213" name="ID_B22800FB9B824125B23C5895E5D7EC69"/>
        <xdr:cNvPicPr>
          <a:picLocks noChangeAspect="1"/>
        </xdr:cNvPicPr>
      </xdr:nvPicPr>
      <xdr:blipFill>
        <a:blip r:embed="rId405" cstate="print">
          <a:extLst>
            <a:ext uri="{28A0092B-C50C-407E-A947-70E740481C1C}">
              <a14:useLocalDpi xmlns:a14="http://schemas.microsoft.com/office/drawing/2010/main" val="0"/>
            </a:ext>
          </a:extLst>
        </a:blip>
        <a:stretch>
          <a:fillRect/>
        </a:stretch>
      </xdr:blipFill>
      <xdr:spPr>
        <a:xfrm>
          <a:off x="1400175" y="1476375"/>
          <a:ext cx="1117600" cy="1285875"/>
        </a:xfrm>
        <a:prstGeom prst="rect">
          <a:avLst/>
        </a:prstGeom>
      </xdr:spPr>
    </xdr:pic>
  </etc:cellImage>
  <etc:cellImage>
    <xdr:pic>
      <xdr:nvPicPr>
        <xdr:cNvPr id="251" name="ID_200D646B95994C4A95A2B90666E45069"/>
        <xdr:cNvPicPr>
          <a:picLocks noChangeAspect="1"/>
        </xdr:cNvPicPr>
      </xdr:nvPicPr>
      <xdr:blipFill>
        <a:blip r:embed="rId406"/>
        <a:stretch>
          <a:fillRect/>
        </a:stretch>
      </xdr:blipFill>
      <xdr:spPr>
        <a:xfrm>
          <a:off x="1991995" y="818515"/>
          <a:ext cx="906780" cy="1048385"/>
        </a:xfrm>
        <a:prstGeom prst="rect">
          <a:avLst/>
        </a:prstGeom>
      </xdr:spPr>
    </xdr:pic>
  </etc:cellImage>
  <etc:cellImage>
    <xdr:pic>
      <xdr:nvPicPr>
        <xdr:cNvPr id="253" name="ID_77F43921F862402CAE79D187551E92C3"/>
        <xdr:cNvPicPr>
          <a:picLocks noChangeAspect="1"/>
        </xdr:cNvPicPr>
      </xdr:nvPicPr>
      <xdr:blipFill>
        <a:blip r:embed="rId407"/>
        <a:srcRect l="13853" t="10427" r="15540" b="28822"/>
        <a:stretch>
          <a:fillRect/>
        </a:stretch>
      </xdr:blipFill>
      <xdr:spPr>
        <a:xfrm>
          <a:off x="5466080" y="1055370"/>
          <a:ext cx="1677670" cy="1103630"/>
        </a:xfrm>
        <a:prstGeom prst="rect">
          <a:avLst/>
        </a:prstGeom>
        <a:noFill/>
        <a:ln w="9525">
          <a:noFill/>
        </a:ln>
      </xdr:spPr>
    </xdr:pic>
  </etc:cellImage>
  <etc:cellImage>
    <xdr:pic>
      <xdr:nvPicPr>
        <xdr:cNvPr id="345" name="ID_2561BA486FF3432FAC84571532483C7F"/>
        <xdr:cNvPicPr>
          <a:picLocks noChangeAspect="1"/>
        </xdr:cNvPicPr>
      </xdr:nvPicPr>
      <xdr:blipFill>
        <a:blip r:embed="rId408"/>
        <a:stretch>
          <a:fillRect/>
        </a:stretch>
      </xdr:blipFill>
      <xdr:spPr>
        <a:xfrm>
          <a:off x="1247775" y="2959100"/>
          <a:ext cx="5010150" cy="4305300"/>
        </a:xfrm>
        <a:prstGeom prst="rect">
          <a:avLst/>
        </a:prstGeom>
        <a:noFill/>
        <a:ln w="9525">
          <a:noFill/>
        </a:ln>
      </xdr:spPr>
    </xdr:pic>
  </etc:cellImage>
  <etc:cellImage>
    <xdr:pic>
      <xdr:nvPicPr>
        <xdr:cNvPr id="372" name="ID_FE16B249F0C045EB8AC3B072460D54AC"/>
        <xdr:cNvPicPr>
          <a:picLocks noChangeAspect="1"/>
        </xdr:cNvPicPr>
      </xdr:nvPicPr>
      <xdr:blipFill>
        <a:blip r:embed="rId409"/>
        <a:stretch>
          <a:fillRect/>
        </a:stretch>
      </xdr:blipFill>
      <xdr:spPr>
        <a:xfrm>
          <a:off x="10100310" y="1058545"/>
          <a:ext cx="3853815" cy="1431290"/>
        </a:xfrm>
        <a:prstGeom prst="rect">
          <a:avLst/>
        </a:prstGeom>
        <a:noFill/>
        <a:ln w="9525">
          <a:noFill/>
        </a:ln>
      </xdr:spPr>
    </xdr:pic>
  </etc:cellImage>
  <etc:cellImage>
    <xdr:pic>
      <xdr:nvPicPr>
        <xdr:cNvPr id="373" name="ID_177F9A41923D4D9B8A2B4BF2D6076AA0"/>
        <xdr:cNvPicPr>
          <a:picLocks noChangeAspect="1"/>
        </xdr:cNvPicPr>
      </xdr:nvPicPr>
      <xdr:blipFill>
        <a:blip r:embed="rId410"/>
        <a:stretch>
          <a:fillRect/>
        </a:stretch>
      </xdr:blipFill>
      <xdr:spPr>
        <a:xfrm>
          <a:off x="1948815" y="5711190"/>
          <a:ext cx="821690" cy="664845"/>
        </a:xfrm>
        <a:prstGeom prst="rect">
          <a:avLst/>
        </a:prstGeom>
        <a:noFill/>
        <a:ln w="9525">
          <a:noFill/>
        </a:ln>
      </xdr:spPr>
    </xdr:pic>
  </etc:cellImage>
  <etc:cellImage>
    <xdr:pic>
      <xdr:nvPicPr>
        <xdr:cNvPr id="376" name="ID_4B59346AC2474235BCE8B592E818AA9D"/>
        <xdr:cNvPicPr>
          <a:picLocks noChangeAspect="1"/>
        </xdr:cNvPicPr>
      </xdr:nvPicPr>
      <xdr:blipFill>
        <a:blip r:embed="rId411"/>
        <a:stretch>
          <a:fillRect/>
        </a:stretch>
      </xdr:blipFill>
      <xdr:spPr>
        <a:xfrm>
          <a:off x="8044180" y="29669105"/>
          <a:ext cx="1089660" cy="1781810"/>
        </a:xfrm>
        <a:prstGeom prst="rect">
          <a:avLst/>
        </a:prstGeom>
        <a:noFill/>
        <a:ln w="9525">
          <a:noFill/>
        </a:ln>
      </xdr:spPr>
    </xdr:pic>
  </etc:cellImage>
  <etc:cellImage>
    <xdr:pic>
      <xdr:nvPicPr>
        <xdr:cNvPr id="22" name="ID_AA0EAD81254745E68F357655636B8AD6"/>
        <xdr:cNvPicPr>
          <a:picLocks noChangeAspect="1"/>
        </xdr:cNvPicPr>
      </xdr:nvPicPr>
      <xdr:blipFill>
        <a:blip r:embed="rId412"/>
        <a:stretch>
          <a:fillRect/>
        </a:stretch>
      </xdr:blipFill>
      <xdr:spPr>
        <a:xfrm>
          <a:off x="2916555" y="722630"/>
          <a:ext cx="1788795" cy="1608455"/>
        </a:xfrm>
        <a:prstGeom prst="rect">
          <a:avLst/>
        </a:prstGeom>
        <a:noFill/>
        <a:ln w="9525">
          <a:noFill/>
        </a:ln>
      </xdr:spPr>
    </xdr:pic>
  </etc:cellImage>
  <etc:cellImage>
    <xdr:pic>
      <xdr:nvPicPr>
        <xdr:cNvPr id="23" name="ID_95704AC682AD4D078AA3F4C26D31D96E"/>
        <xdr:cNvPicPr>
          <a:picLocks noChangeAspect="1"/>
        </xdr:cNvPicPr>
      </xdr:nvPicPr>
      <xdr:blipFill>
        <a:blip r:embed="rId413"/>
        <a:srcRect l="13671" t="19338" r="15181" b="35857"/>
        <a:stretch>
          <a:fillRect/>
        </a:stretch>
      </xdr:blipFill>
      <xdr:spPr>
        <a:xfrm>
          <a:off x="5230495" y="2263775"/>
          <a:ext cx="1973580" cy="976630"/>
        </a:xfrm>
        <a:prstGeom prst="rect">
          <a:avLst/>
        </a:prstGeom>
        <a:noFill/>
        <a:ln w="9525">
          <a:noFill/>
        </a:ln>
      </xdr:spPr>
    </xdr:pic>
  </etc:cellImage>
  <etc:cellImage>
    <xdr:pic>
      <xdr:nvPicPr>
        <xdr:cNvPr id="61" name="ID_EA11B73BEFF34855AD5203DF44A390F2"/>
        <xdr:cNvPicPr>
          <a:picLocks noChangeAspect="1"/>
        </xdr:cNvPicPr>
      </xdr:nvPicPr>
      <xdr:blipFill>
        <a:blip r:embed="rId404"/>
        <a:stretch>
          <a:fillRect/>
        </a:stretch>
      </xdr:blipFill>
      <xdr:spPr>
        <a:xfrm>
          <a:off x="1389380" y="7641590"/>
          <a:ext cx="967105" cy="752475"/>
        </a:xfrm>
        <a:prstGeom prst="rect">
          <a:avLst/>
        </a:prstGeom>
        <a:noFill/>
        <a:ln w="9525">
          <a:noFill/>
        </a:ln>
      </xdr:spPr>
    </xdr:pic>
  </etc:cellImage>
  <etc:cellImage>
    <xdr:pic>
      <xdr:nvPicPr>
        <xdr:cNvPr id="19" name="ID_6D8AB5F577ED41149546317942BADCB8" descr="壁扇"/>
        <xdr:cNvPicPr>
          <a:picLocks noChangeAspect="1"/>
        </xdr:cNvPicPr>
      </xdr:nvPicPr>
      <xdr:blipFill>
        <a:blip r:embed="rId414"/>
        <a:stretch>
          <a:fillRect/>
        </a:stretch>
      </xdr:blipFill>
      <xdr:spPr>
        <a:xfrm>
          <a:off x="1353185" y="2524125"/>
          <a:ext cx="2616200" cy="2217420"/>
        </a:xfrm>
        <a:prstGeom prst="rect">
          <a:avLst/>
        </a:prstGeom>
      </xdr:spPr>
    </xdr:pic>
  </etc:cellImage>
  <etc:cellImage>
    <xdr:pic>
      <xdr:nvPicPr>
        <xdr:cNvPr id="82" name="ID_D74497FA35ED4020B9612EDE99721062" descr="空调挂机"/>
        <xdr:cNvPicPr>
          <a:picLocks noChangeAspect="1"/>
        </xdr:cNvPicPr>
      </xdr:nvPicPr>
      <xdr:blipFill>
        <a:blip r:embed="rId415"/>
        <a:stretch>
          <a:fillRect/>
        </a:stretch>
      </xdr:blipFill>
      <xdr:spPr>
        <a:xfrm>
          <a:off x="2893695" y="13700125"/>
          <a:ext cx="10045065" cy="4458970"/>
        </a:xfrm>
        <a:prstGeom prst="rect">
          <a:avLst/>
        </a:prstGeom>
      </xdr:spPr>
    </xdr:pic>
  </etc:cellImage>
  <etc:cellImage>
    <xdr:pic>
      <xdr:nvPicPr>
        <xdr:cNvPr id="83" name="ID_1DE2340E6FD34343A3965CC12693CD76"/>
        <xdr:cNvPicPr>
          <a:picLocks noChangeAspect="1"/>
        </xdr:cNvPicPr>
      </xdr:nvPicPr>
      <xdr:blipFill>
        <a:blip r:embed="rId416"/>
        <a:srcRect l="7681" t="3734" r="8830" b="55723"/>
        <a:stretch>
          <a:fillRect/>
        </a:stretch>
      </xdr:blipFill>
      <xdr:spPr>
        <a:xfrm>
          <a:off x="2815590" y="66520060"/>
          <a:ext cx="1064895" cy="748030"/>
        </a:xfrm>
        <a:prstGeom prst="rect">
          <a:avLst/>
        </a:prstGeom>
        <a:noFill/>
        <a:ln w="9525">
          <a:noFill/>
        </a:ln>
      </xdr:spPr>
    </xdr:pic>
  </etc:cellImage>
</etc:cellImages>
</file>

<file path=xl/sharedStrings.xml><?xml version="1.0" encoding="utf-8"?>
<sst xmlns="http://schemas.openxmlformats.org/spreadsheetml/2006/main" count="1686" uniqueCount="1039">
  <si>
    <t>汝南县刘屯小学音乐、语言教室设备设施配置清单</t>
  </si>
  <si>
    <t>序号</t>
  </si>
  <si>
    <t>名称</t>
  </si>
  <si>
    <t>参数</t>
  </si>
  <si>
    <t>数量</t>
  </si>
  <si>
    <t>单位</t>
  </si>
  <si>
    <t>参考图片</t>
  </si>
  <si>
    <t>备注</t>
  </si>
  <si>
    <t>智慧黑板</t>
  </si>
  <si>
    <t>同教室（智能教学一体机）</t>
  </si>
  <si>
    <t>套</t>
  </si>
  <si>
    <t>五线谱电教板</t>
  </si>
  <si>
    <t>1.键盘：88键电钢琴键盘，体验真正的电钢琴力度。
2.双乐理演示尺.体验各基础乐理之间的相互关系。
3.五线谱表：一组可书写的大谱表,采用白色书写面板（采用紫外线光固化生产工艺有效保证板面的书写擦拭）。
4.音色：128种GM音色+1组打击乐器音色。
5.节奏：内置100种伴奏风格节奏。
6.示范曲：内置歌曲608首。
7.变调：五线谱12种变调。
8.调号转换：电教鞭上具有升调“#”.降调“b”转换功能键。
9.和弦方式：可演示任意和旋，两组和弦记忆，进行和弦对照演示。
10.伴奏：具单指和弦.多指和弦伴奏。
11.录音：具有录音功能。
12.节拍速度：可在40－280/每分钟范围可调。
13.显示：控制面板采用彩色触摸液晶屏。
14.接口：MIDI输入.输出接口，音频输入.输出接口。
15.音量控制：电子电位器控制.分主音量和伴奏音量控制。
16.拓展功能：具有USB2.0接口，支持用户U盘，可读取u盘中的MP3文件和MIDI乐曲文件。
17.外接接口：通用USB2.0输入；线路输入输出。
18.该示教板以键盘为核心，面板上贴有调的五度循环贴图，方便乐理知识的教学，将键盘.谱表.调名.调号巧妙的联系到一起，乐理演示简捷直观，乐理解析清析易懂。
19.具有键位与五线谱对应的双色LED指示灯，可对照键盘与五线谱相应的位置。
20.具有10cm*6cm超大简谱显示窗口，在电子教鞭演示五线谱过程中可直接显示相对应的简谱.升降号。</t>
  </si>
  <si>
    <t>台</t>
  </si>
  <si>
    <t>操作台</t>
  </si>
  <si>
    <t xml:space="preserve">不低于2000*550*880多功能操作台，嵌入式设计理念，教师用琴、与计算机及相应主控设备可内置，整洁、美观、大气，节约空间，适用性强。
</t>
  </si>
  <si>
    <t>个</t>
  </si>
  <si>
    <t>功放</t>
  </si>
  <si>
    <t>功能描述：
1、本机是一款多功能音频功率放大器，采用高效率的开关电源和数字功放技术，并集成了专业前级放大系统、音频信号处理系统、功放电路保护系统等，产品可靠稳定、体积小、重量轻、效率高、电压适应范围广，可广泛应用于多种扩声场所；
2、带两路有线话筒输入接口，两路无线话筒输入接口，三组线路输入接口，三组线路输出接口，两组功率输出接口；
3、话筒、线路的音量可独立调节并具有高低音两段均衡，有线话筒输入通道带可独立开关的+48V幻像电源；
4、本机带有蓝牙和USB播放功能，方便不同音乐节目的播放；
5、带有一键静音和RS232接口，可实现远程控制；
6、功放输出通道中L通道可独立调节输出大小。
技术参数：
1、带U盘播放（优先播放，格式MP3）和蓝牙播放，带LCD液晶显示屏，四路音源切换按键（带记忆功能），对线路1/线路2/线路3/（蓝牙/U盘）进行切换；
2、带2路有线话筒输入（6.35话筒口，+48V幻像电源可切换）、2路无线话筒输入（1路3.5三芯+1路USB，USB可用于2.4G无线话筒供电）、2组立体声线路输入（RCA*4莲花接口）、1路线路平衡输入（凤凰接口）；
3、带2组立体声线路输出（RCA*4莲花接口）、1路线路平衡输出（凤凰接口）；
4、带1路RS232控制接口、1路一键静音控制接口；
5、话筒和线路音量、高/低音独立可调，带功放L输出通道信号大小调节功能；
6、额定功率(RMS)：2×200W  8Ω,2×300W  4Ω；                              
7、总谐波失真：≤1%；
8、线路频率响应：20Hz～20KHz  ±3dB，话筒频率响应：80Hz～16KHz  ±3dB；
9、输入灵敏度：300±30mV线路，60±6mV有线话筒，200±20mV无线话筒；
10、信噪比：≥82dB；                            
11、线路高音提衰量（10KHz）：14dB±2dB，线路低音提衰量（100Hz）：14dB±2dB，话筒高音提衰量（10KHz）：14dB±2dB，话筒低音提衰量（100Hz）14dB±2dB；
12、整机高度：1U；
13、最大功率消耗：950W；
14、额定电源电压：～220V/50Hz，电压适应范围：～180V-242V。</t>
  </si>
  <si>
    <t>音箱</t>
  </si>
  <si>
    <t>1、扬声器单元：LF≥1*10英寸，HF≥2*3英寸；
2、额定功率：≥100W；
3、额定阻抗：8Ω（≥80%）
4、最大声压级：≥118dB
5、连续声压级：≥112dB
6、特性灵敏度：≥92dB/m/W
7、额定频率范围：65~20000Hz                                                                                                                                                       8、根据GB8898-2011、端子与外壳：绝缘电阻≥4MΩ</t>
  </si>
  <si>
    <t>对</t>
  </si>
  <si>
    <t>无线话筒</t>
  </si>
  <si>
    <t>1、采用UHF超高频段，全新音频电路构架，数字静音、数字音量调节；
2、先进的自动对频技术，仅需一键操作即可自动同步接收、发射工作频率，方便客户使用；
3、独特ID码设计，具有身份识别功能，彻底杜绝干扰和串频现象；
4、采用真分集式接收及数字导音，杂音锁定双重静音控制，接收距离远，消除接收断音及不稳的缺失。
5、各频道可单独或混合输出，可切换两段输出的音量，具有MIC/LINE输出开关：
6、接收机可设置锁屏功能，防止使用误操作；
7、高端液晶显示屏采用全新的背光补亮方式，使接收机及发射器的工作状态一目了然；
8、理想环境操作半径大于50米，适用于多种场合；
技术参数：
1、射频范围: UHF537-587.3MHZ
2、可调范围 :约50 MHz 
3、信道数目：200个
4、频率间隔：250KHz
5、频率稳定度：±0.005%（-10℃—﹢50℃）
6、综合T.H.D. :&lt;1% @1kHz 
7、音频响应 : 50Hz-15kHz
8、天线接口：TNC/50Ω
9、发射器拾音头：动圈式
10、发射器供电方式：两节AA电池
11、电池寿命：约8小时（发射器功率为高功率）</t>
  </si>
  <si>
    <t>电钢琴</t>
  </si>
  <si>
    <t>键盘： 88键(A-1~C7)榔头键力度触感配重标准键盘
显示：多功能背光LCD液晶显示
复音数：256个音
音色：1514种（包括140种民族音色、240组打击乐音色、1组民族打击乐和1组效果音）
音色控制：音量，延音，微调，移调，偏移，八度  
踏板：弱音踏板，保持音踏板，延音踏板
效果：10种混响类型，混响深度，混响开关；13种合唱类型，合唱深度，合唱开关
节奏数：320种（包括61种民族节奏)
节奏控制：淡入淡出，同步启动，启动/停止，前奏/尾奏， 间奏，变奏，单键设置， 速度控制，打击乐音量控制，和弦贝司音量控制，
键盘控制：全键盘, 单指多指和弦， 键盘分离， 键盘双音色，双人模式， 和声， 3种力度曲线及固定力度选择
示范曲：470首
录音：USB多轨(16 轨) 实时录音和播放，自动轨/手动轨录音选择，USB音量控制
存储设置：4 x 6组存储设置，存储设置可以通过USB磁盘保存/装载
其它：敲击/速度，USB磁盘功能，USBMIDI/USB AUDIO，MIDIIN开关控制，右手左手双音色MIDIOUT开关通道选择控制，Local开关控制，节拍器
接口：AC 220V 电源插孔，脚踏插孔，U盘插孔，USB插孔，线路输入输出插孔, 耳机1/2插孔，MIDI in/out插孔</t>
  </si>
  <si>
    <t>手风琴</t>
  </si>
  <si>
    <t xml:space="preserve">律制：十二平均律标准音：小字一组a音为440Hz，应符合GB3451的要求,音准误差：极限偏差为+17 -8音分；八度纯，四度，五度均匀；
1.琴箱：长482mm,宽190mm.
2.风箱：表面覆盖条两端应一致，折层边棱应平整。风箱伸缩自如，与琴箱结合严密。
3.键盘：41个条形琴键，有24根白键，17根黑键组成，中心距20mm，琴键宽度19mm, 珍珠白银花键特殊材料铸塑。键盘耐磨防划、黑白键左右不摆动、机械传动稳定灵活，经久耐用不褪色。
4.音域：从F到A。
5.键盘变音器：7个变音+一个总还原，排列整齐，音列组合标志准确、清楚.变音传动装置应灵敏有效，并能保证音孔的充分启闭。
6.贝斯：120个键钮，排列整齐，运动灵活，经久耐用，不易掉齿。
7.贝斯变音器：三个变音键组成，排列整齐、音列组合标志应清晰、准确；传动装置应灵敏有效。
8.琴箱：色泽协调，表面平滑，线条流畅，镀层完整。紧固件没有松动现象。
9.音质：高音明亮，中音丰富有力，低音浑厚，音质纯净，无哑音；         </t>
  </si>
  <si>
    <t>架</t>
  </si>
  <si>
    <t>录音机</t>
  </si>
  <si>
    <t>带速 4.76cm/s±3% 收音频率 MW:530-1600KHz FM:76-108MHz 
抖 晃 ≤0.4% 电力消耗功率 12W 
输出功率 2W+2W 磁带放音频响 100Hz-8KHz 
扬声器 77mm 6Ω CD放音频响 50Hz-18KHz 
CD格式 CD/CD-R/CD-RW 体 积 约260x219x139mm 
支持格式 USB/TF卡 MP3/WMA 重 量 约2.0KG(不含电池) 
随机配件 主机x1/AC电源线x1/遥控器x1/说明书x1/保修卡x1</t>
  </si>
  <si>
    <t>音乐节拍器</t>
  </si>
  <si>
    <t xml:space="preserve">1.材料：注塑外壳 纯金属机芯
2.机芯：高档金属机芯
3.模式：传统示拍模式
4.速度：40~208拍/分
5.节拍：0、2、3、4、6 
6.误差：速度误差&lt;1%
7.音色：纯金属机芯结构，精准、稳定、音亮清脆、均匀，操作简便,外观时尚
</t>
  </si>
  <si>
    <t>音叉</t>
  </si>
  <si>
    <t xml:space="preserve">1.材质：钢制
2.规格：总长≧115mm，把手长度≧40mm，叉长≧75mm，叉厚≧3mm
3.结构：呈“Y”形的钢质音叉，手柄上印有A-440钢印，标准音乐音叉，整块钢材经过车床，铣床，磨床等机械加工而成  
4.使用方法：敲击音叉，采集声波波形图 </t>
  </si>
  <si>
    <t>中小学音乐教学挂图</t>
  </si>
  <si>
    <t>1.符合中小学音乐教科书的有关要求，符合中小学音乐课程标准的指导思想
2.挂图采用彩色胶印，画面整洁，色泽自然鲜明，图像清晰，表面平整，无缺角和褶痕
3.挂图内容正确.重点突出
4.全套70幅对开，牢固耐用
5.由人民音乐电子音像出版社发行　</t>
  </si>
  <si>
    <t>小学音乐多媒体教学软件</t>
  </si>
  <si>
    <t>音乐教科书同步的配套教学软件产品，12蝶,正版包装须印刷发行单位、正版发行书号,产品内容以教材为主，包含目录索引，将教材中所有的曲谱、文字等内容以多媒体的模式呈现，每册光盘内容有课本配套的所有曲谱、文字、图像、音响和视频等资料，对课本中的相关知识点实行多媒体化的展现，并对知识点进行了延伸补充。本套产品在基础的多媒体课件上增加了伴奏升调、降调，节拍器，教参下载等多种实用的功能，以便于教师的教学；课件的内容上也更注重于学习的科学性、趣味性，使学生能够积极主动、轻松愉快的参与学习。</t>
  </si>
  <si>
    <t>小学曲库(小学音乐音响教学资源库)</t>
  </si>
  <si>
    <t xml:space="preserve"> 音乐教科书同步的配套教学资料，内容同步音乐教材,正版包装须印刷发行单位、正版发行书号,内容包含民乐、西乐。</t>
  </si>
  <si>
    <t>小学音乐教材配套音像资料</t>
  </si>
  <si>
    <t>音乐教科书同步的配套教学资料，44蝶,内容同步音乐教材,正版包装须印刷发行单位、正版发行书号,产品内容以教材为主，将教材中所有的曲谱、文字等内容以多媒体的模式呈现，缩小老师的备课难度及备课内容,每册光盘内容有课本配套的所有曲谱、文字、图像、音响和视频等资料，对课本中的相关知识点实行多媒体化的展现，并对知识点进行了延伸补充。课件的内容注重于学习的科学性、趣味性，使学生能够积极主动、轻松愉快的参与学习。</t>
  </si>
  <si>
    <t>音筒</t>
  </si>
  <si>
    <t xml:space="preserve">1.外观构成：彩色塑料音筒，外部有音符标注；一头有系绳，用于方便手拿
2.规格：筒直径≧44mm，按音符排列，音筒长：C≧610mm、D≧550mm、E≧472mm、F≧455mm、G≧410mm、A≧360mm、B≧310mm、C≧297mm； </t>
  </si>
  <si>
    <t>音条</t>
  </si>
  <si>
    <t>1.构成：由实木制木条和铝片构成，带有便携带木盒，
2.组成部分：音条键、发音箱、音条钉、音条锤，产品表面镀层牢固、完整、光亮，
3.规格：铝制17块音块组成，规格：最长音块≧215mm、最短音块≧143mm；音块高≧46mm；音块的铝板琴片厚度≧5mm；
4.音色：音灵敏，主音清晰，悦耳，音色饱满，共鸣好，无杂音；音准符合标准要求。</t>
  </si>
  <si>
    <t>铝板琴</t>
  </si>
  <si>
    <t xml:space="preserve">1.材质：优质钢铝；
2.规格：琴长≧615mm，琴宽≧342mm，琴片宽≧25mm，琴片厚≧5mm，整体琴片长185mm-75mm组成，琴片根据音阶不同尔长度不同；不锈钢支架的高度为≧600mm，支架中心钢管的直径≧25mm
3.结构：音板、音锤、支架、琴包组成；由1个32音的裸琴和1副不锈钢制支架组合而成，琴片上刻有音阶，不锈钢制支架的3个分支架底部均有黑色橡胶垫保护，起到稳定、固定的作用；
4.使用方法：演奏时将铝板琴放在组装好的支架上，然后左右手手持敲棒敲击琴片即可； </t>
  </si>
  <si>
    <t>口风琴</t>
  </si>
  <si>
    <t>1.材质：食品级ABS无毒工程树脂 ；3个8度音域
2.结构：37键键盘组成、吹嘴一个、塑料吹管一个、擦琴布一块，优质帆布带拉链琴包一个（含背带）； 
3.规格：全长≧470mm，宽≧107mm，高≧35mm；白键长均≧84mm，宽均≧18mm；黑键长均≧108mm，宽均≧54mm；塑料吹管长≧540mm；吹嘴长≧65mm，宽≧17mm；外包装尺寸长*宽*高≧515*140*60mm ；
4.音质：采用十二平均律，标准音440-442Hz，音色清脆、柔和、圆润、响亮、均匀、无杂音；
5.使用方法：用嘴吹气时，手指按键盘上任意键发音；</t>
  </si>
  <si>
    <t>竖笛</t>
  </si>
  <si>
    <t xml:space="preserve">1.材质：ABS树脂； 
2.结构：由安全无毒环保塑料制成的8孔竖笛一支，内附:一根清洁棒、竖笛说明书（含指法表）、竖笛挂绳，PVC袋包装 ，笛身贴有镭射光标
3.调性：C调
</t>
  </si>
  <si>
    <t>支</t>
  </si>
  <si>
    <t>葫芦丝</t>
  </si>
  <si>
    <t xml:space="preserve">1.材质：天然葫芦 
2.规格：葫芦丝全长≧38.5CM；葫芦≧13CM；主音管≧23CM；主音管直径≧1.5CM；葫芦丝吹口≧2CM；
3.结构：由1个天然葫芦、仿花牛角吹口、2根附管、1根主音管、1个小DIY中国结组成
4.调性：C调
5.使用方法：右手无名指、中指、食指用第一节指肚分别开闭第一、二、三个音孔，拇指拖于主管下方。左手无名指、中指、食指用第一节指肚分别开闭，第四、第五、第六音孔，拇指开开位于主管前下方的第七音孔。
</t>
  </si>
  <si>
    <t>尤克里里</t>
  </si>
  <si>
    <t xml:space="preserve">1.材质：桃花芯尤克里里
2.面板：桃花芯木 
3.侧板：桃花芯木 
4.背板：桃花芯木 
5.指板：玫瑰木 
6.下码：玫瑰木 
7.旋钮：全封闭 
8.口轮：雕刻 
9.琴枕：牛骨 
10.漆面：亚光 
</t>
  </si>
  <si>
    <t>把</t>
  </si>
  <si>
    <t>吉它</t>
  </si>
  <si>
    <t>面板材料：云杉夹板，底侧板材料：沙比利，琴体面板包边：象牙白ABS五线，琴体侧板包边：象牙白ABS，象牙白ABS五线，指板材料：玫瑰木，指板包边：象牙白ABS，指板音点：5MM白色星点，琴颈材料：那都，琴头包边：琴头包边，音孔装饰：ABS+咖啡色赛璐璐，上下弦枕：象牙白ABS，琴  钮：镀铬全封闭式</t>
  </si>
  <si>
    <t xml:space="preserve">爵士鼓  </t>
  </si>
  <si>
    <t xml:space="preserve">鼓桶尺寸：低音鼓22"*16"；军鼓14"*5.5"；一通鼓12"*9"；二通鼓13"*10"； 三通鼓16"*16”
硬件配置：直杆吊镲架 踩镲架 军鼓架 低音鼓踏板 鼓凳
镲片尺寸：12"踩镲*2片  15"强音镲*1片 
鼓皮配置： 高级PVC半透明鼓皮 
纸箱包装尺寸：76CM * 60CM * 56CM
重量：约40公斤 </t>
  </si>
  <si>
    <t>组</t>
  </si>
  <si>
    <t>乐谱架</t>
  </si>
  <si>
    <t>1、材质：优质铁，磨砂面
2、规格:谱台面直径≧470mm，高度≧340mm，最大可升降到1.4-1.5米的高度，加厚金属钢管支架中心钢管直径≧19mm
3、结构：由加厚金属谱台面和加厚金属钢管支架组成。加厚金属钢管支架底部有3个支撑杆可收合， 脚底为防滑塑胶材质，所有旋钮为均高级ABS材质结实耐用
4、使用方法：打开包装进行简单组装即可使用。</t>
  </si>
  <si>
    <t>六面体凳</t>
  </si>
  <si>
    <t xml:space="preserve">1、材质：复合板材、带ABS包边材料、硬质包角钉制；
2、规格：250*300*410mm含护角部分
3、结构：由一正方体凳组成，凳子颜色有3种，3色对称。凳子有8个护角，护角为硬质塑料制成，防滑
4、使用方法：打开包装即可使用，根据需要可组合各种形状 </t>
  </si>
  <si>
    <t>汝南县刘屯小学科学实验室设备设施配置清单</t>
  </si>
  <si>
    <t>教师演示台</t>
  </si>
  <si>
    <t>1、规格：2400×700×850mm（±20mm）。
2、台面：采用≥12.7mm厚双面膜实芯理化板。
3、结构：全钢独立柜体结构，无需安装；演示台设有储物柜，中间为演示台，设置电源主控系统、多媒体设备（主机、显示器、中控、功放、交换机）的位置预留。
4、柜身主体背板、吊板及所有板材均采用采用1.0优质一级冷轧钢板（SPCCT）经CNC机压成型，满焊无缝焊接工艺，表面经磷化、环氧树脂静电粉末涂装处理。
5、柜门：双包结构，柜门内部填充蜂窝隔音棉。
6、门铰：采用锌合金铰链。自闭式，与柜体面水平角度&lt;15度时，柜门即可自行关闭，使用过程中无噪音，可开关十万次。
7、滑轨：三节静音滑轨滑轨，承重性强、滑动性能良好、无噪音开合十万次不变形。
8、拉手：一字内隐藏拉手，与门板抽屉连为一体，造型独特美观。
9、脚垫：ABS注塑专用垫，具有高度可调、耐磨、防潮、耐腐蚀等特点。</t>
  </si>
  <si>
    <t>张</t>
  </si>
  <si>
    <t>学生实验桌</t>
  </si>
  <si>
    <t>1、规格：1200*600*780mm（±20mm）
2、台面：采用≥12.7mm实验室专用实芯理化板
3、台身结构：新型塑铝结构，学生位镂空式，符合人体工程学设计，美观大方。
4、桌身：由桌腿、立柱、支撑柱、前横梁、中横梁、后横梁,挡水条组成。
5、桌腿：采用工字型压铸铝一次成型，三段链接。
6、上腿（分左右脚）规格：≥长560*宽55*高105mm，壁厚≥2.5mm，内侧设有凹槽。
7、下腿（分左右脚）规格：≥长520*宽65*高90mm，壁厚≥2.5mm，内侧设有凹槽。
8、下脚正反面设有塑料卡盖，组装完成后更加美观。
9、立柱：采用≥40×110mm，壁厚≥1.3mm。立柱每端内部有2个铸铝成型的螺丝链接位；内侧设有凹槽。
10、上腿两侧可选装插座方便学生使用。
11、前横梁：≥30×30mm，壁厚≥1.2mm。
12、中横梁：≥30×30mm，壁厚≥1.2mm。
13、后横梁：≥30×30mm,壁厚≥1.2mm。后横梁上侧设有15X55mm挡水条
14、下横梁固定拉杆≥15×95mm，壁厚≥1.2mm。
15、材料采用优质铝镁合金材料，材料表面经高压静电喷涂环氧树脂防护层，耐酸碱，耐腐蚀处理。
16、书包斗:尺寸≥430X270X160mm采用环保型ABS工程塑料一次性注塑成型。两个书包斗中间设有学生电源盒260X185X140mm，方便学生使用。</t>
  </si>
  <si>
    <t>实验凳</t>
  </si>
  <si>
    <t>1、规格:320*480-540mm。
2、凳脚材质:4个凳脚采用20*40*1.2mm椭圆形无缝钢管模具一次成型,全圆满焊完成,结构牢固,经高温粉体烤漆处理,长时间使用也不会产生表面烤漆剥落现象.。凳脚弧度:上部凳脚弧度66°,下部凳脚弧度24°,整体美观大方。
3、方形托盘厚度≥3mm边长160*160mm。
4、凳面:凳面直径≥320mm采用环保型PP改性塑料注塑成型;表面细纹咬花,防滑不发光。
5、脚垫:采用PP加耐磨纤维质塑料,实心倒勾式一体射出成型。
6、凳子可螺旋升降,升降到一定高度后要有固定不旋转装置并且升到最高时凳面不可脱落。</t>
  </si>
  <si>
    <t>条</t>
  </si>
  <si>
    <t>功能柱</t>
  </si>
  <si>
    <t>外形尺寸（750*340*180mm）整体采用PP全新塑料注塑成，塑料产品壁厚不低于3.5mm。</t>
  </si>
  <si>
    <t>教师总控电源</t>
  </si>
  <si>
    <t>l、面板采用2.5毫米厚绝缘板做衬板（不可使用塑料板，塑料板易变形），表面贴敷0.3毫米厚PC覆膜，美观耐用。设置漏电保护总开关（国产知名品牌，德力西或正泰）、220V交流输出选用国标五孔插座，应取得3C认证的品牌产品。
2、低压交流电源：0-30V可调(每档2V)，额定电流1.5-3A(短路、过载自动保护、自动复位)；轻触按键操作，数字键直接选取电压.数字表显示。
3、直流稳压电源：0-30v额定电流1.5-3A，调压分辨率为0.1V.(短路、过载自动保护、自动复位)；轻触按键操作，数字键直接选取电压.数字表显示。
4、直流大电流输出：9V／40A；10秒自动断开。LED闪烁计时。
5.由教师控制学生实验台交流220V电源，每组由轻触覆膜开关控制，共分四组。
6.学生：A.由教师统一控制学生实验台低压电源，交流每档2V,共15档。学生直流可以在老师给定的低压交流控制范围内微调。B.根据选配的学生电源，教师机应具备锁定功能。锁定后学生不能自行调节，和教师保持同步。7.A.设置密码开机定时关机功能，只有输入正确密码才能进行操作，可定时1-45分钟自动关机。确保用电安全，方便管理。B.密码开机还应设置一组超级密码，以方便忘记密码后能及时找回。</t>
  </si>
  <si>
    <t>学生电源</t>
  </si>
  <si>
    <t>1、每两个学生中间，配备ABS翻转式电源盒，面板采用2.5毫米厚绝缘板做衬板（不可使用塑料板，塑料板易变形），表面贴敷0.3毫米厚PC覆膜，美观耐用。使用时翻出。使用完毕按回原位。
2、低压交直流：低压有教师主控统一供给。输出接口选用优质回形插座，交直流不仅标识清晰且接线柱颜色要有区分，（直流应采用红黑两色，交流可选区别于直流的颜色）。教师提供0-30V/2A每档2V低压交流电源。学生直流0-30V有学生电源自动整流输出。低压交直流均设有短路、过载自动保护、自动复位。
3、高压220V输出：选用国标五孔插座。插座必须设置安全门，并取得3C认证的品牌产品。</t>
  </si>
  <si>
    <t>水槽柜</t>
  </si>
  <si>
    <t>创新型“五防”一体化水槽台：规格590X490X800mm，进口ABS材质；下柜设计为“工”型，采用整体式模具一次注塑成型，壁厚3mm，侧边设计框式U型槽，前后设有检修门，便于后期维护；上部为黑色一体式水槽，槽深360*360*260mm，防臭式回水设计；配有优质鹅颈式铜质镀铬三联水嘴，出水量大，防水溅。水槽台整体美观大方，牢固耐用，防水、防漏、防臭、防水溅、防腐蚀五防一体，操作便捷、维护方便，适用生物、化学实验室。  </t>
  </si>
  <si>
    <t>三联水嘴</t>
  </si>
  <si>
    <t>1.主体：加厚铜质
2.涂层：高亮度环氧树脂涂层，耐腐蚀、耐热，防紫外线辐射
3.陶瓷阀芯90°旋转，使用寿命开关50万次，静态最大耐压20巴
4.经久耐用，不会出现渗水、断裂现象
5.鹅颈管可360°旋转
6.开关旋钮：高密度PP，人体工学设计，手感舒适</t>
  </si>
  <si>
    <t>给、排水系统（地面以上部分）</t>
  </si>
  <si>
    <t>每张实验台给水管采用优质PPR管，主管直径20mm、分管直径20mm；排水管采用50mm优质PVC管。</t>
  </si>
  <si>
    <t>电气布线（地面以上部分）</t>
  </si>
  <si>
    <t>1、DN25mm阻燃线管；
2、1.5mm²、2.5mm²、4mm²国标线材，符合国家标准。</t>
  </si>
  <si>
    <t>安装调试</t>
  </si>
  <si>
    <t>教师端数字化探究仪器及实验配套附件</t>
  </si>
  <si>
    <t>一体化探究数据采集器</t>
  </si>
  <si>
    <t xml:space="preserve">★1、便携式一体化数据采集器，自带操作系统，全塑壳设计，厚度不超过30mm，轻便，采集器配有10英寸以上高清彩色显示屏，内置高灵敏电容触摸屏（TP）;
2、采集器支持多种传感器类型：数模混合传感器、数字传感器、无线传感器等类型；
★3、内置多通道高速数据采集模块，配有丰富的传感器接口，采集器具备不少于8路的有线传感器接口；分别为4路数字模拟混合传感器接口和4路纯数字传感器接口或更多；其中混合传感器接口设计在面板上，且接口带暗扣设计，能有效防止实验过程中传感器脱落；另外的纯数字传感器接口采用标准USB接口，分别位于采集器的左右两侧，保证在多传感器同步实验时，操作更便利；
4、内置无线蓝牙传感器通讯模块，可同时连接4路的蓝牙传感器或更多,进行同步实验；
5、内置有丰富的多媒体接口：音频输入口、音频输出口、扬声器接口或更多；
6、为适应不同的教学环境，内置有双模式高速网络通道：1）有线模式，高速有线网络接口1路，可通过网线直接连入校园网，访问云存储空间；2）无线模式，高速WiFi接口1路，可通过无线网络直接联网，免除对实验室布线的麻烦；
7、内置有TF卡接口一路，可保存大容量实验数据，便于实验数据共享；
8、为便于现场实验教学分享，内置有HDMI高清数字输出通道，可将实验过程投屏到投影机等大屏幕设备上，进行教学辅导；
9、为了适应不同的使用场景，采集器内置两路独立的充电接口或更多，分别位于右侧和底部，并配有一个电源指示灯；
10、为保证在连接数字显微镜等设备时，保证供电稳定，内置有独立的大功率接口，接口采用通用的USB接口；
★11、便携式设计，产品背部嵌有高强度金属提手（提手不短于：100mm，（偏差&lt;5mm）），方便户外实验操作；提手打开时可形成视角，方便放置在桌面进行实验。
</t>
  </si>
  <si>
    <t>数字化实验软件系统</t>
  </si>
  <si>
    <t>1、配套实验分析系统软件，人机界面友好、简洁，要求为中文界面；能自动识别新插入传感器并自动运行、多路传感器显示模式、实时显示实验数据或曲线，多种数据显示方式；
2、支持屏幕录像和外接摄像头录像，强大的录像回放功能，可以在实验后分析整个实验过程的细节，方便学生进行纠错；
3、符合新课程标准要求，能够完成新课标要求的实验，实时显示实验数据或曲线，重复性好，具备多种实验数据的分析工具及所有学生实验数据存储功能，可提供曲线图Curve，数码表Digital，数据列表Array等数据显示功能；
4、内置重新实验公式，同时可以完全自定义公式，不套用模版，自主输入公式；
5、完善的数据统计和曲线分析功能:包含拟合、积分、放大、缩小等多种曲线分析功能；
6、屏幕上的曲线图可上下、左右滚动或放大、缩小，自由选择所观察的部分，可以选定某段曲线进行分析；
7、可将实验数据输出到WORD等格式；
8、支持多个传感器同步采集。
9、内置物理、化学、生物学科的实验模板，并配有实验指导。</t>
  </si>
  <si>
    <t>记录型数据采集拓展器</t>
  </si>
  <si>
    <t xml:space="preserve">1、支持“实验教学与管理信息系统”，实时记录实验教与学行为，为评测与分析提供完整的数据基础，拓展器内置《基础实验辅助控制软件》。
2、支持多种传感器接口通道，提高系统的兼容性与拓展性。
★3、记录型拓展器内置有16路传感器采集通道，含8个带防脱落功能的接口，可满足不同的使用场合。
4、有2个拨动开关，用于控制电源和传感器接口。
★5、内置8个按键和8个状态指示灯；按键功能分别为：日期设置、使用记录、返回、确定、上、下、左、右。
6、内置实时时钟并具备不断电日期功能，可以准确记录使用时间到某年某月某日某时某分，并记录每次使用的时长，日期时间不会因为关机而重新设置，保证为实验教与学行为分析提供精准的数据基础。
★7、内置彩色显示屏，可同时显示实验教与学行为的跟踪记录，和传感器通道状态，也可初始化日期时间。
8、内置存储空间可记录长达1年的实验教与学行为记录；记录型拓展器可以一键进入查看1年内分月实验使用统计情况。
9、内置USB接口，用于导出记录、与PC/PAD/一体化数据采集器数据交换，同时提供额外的供电接口，保证在连接大功率传感器的时候系统正常运作。
10、护眼滚动调节器，无极调节屏幕亮度，可以根据环境以及学生的生理情况实现科学用眼。内置报警蜂鸣器，传感器接入时提示。
</t>
  </si>
  <si>
    <t>小学版实验系统</t>
  </si>
  <si>
    <t xml:space="preserve">1、是一款针对小学科学设计的专用软件；
2、具有2个风格登入页面，可以随意切换，满足小学生的兴趣；
3、整个界面简单，一目了然，按年级分类，如：六年级上册、五年级下册、五年级上册、五年级下册等
4、软件界面活泼可爱，可以很好的吸引小学生探究兴趣；
5、自带实验模板，不少于50个，每个实验模板具有该实验的实验原理、目的、器材、注意事项、装置图、实验器材等。
</t>
  </si>
  <si>
    <t>多量程电流传感器</t>
  </si>
  <si>
    <t>三量程：-3A~+3A/-200mA~+200mA/-20mA~+20mA，分辨率：0.1%量程，通过软件开关实现量程选择；用于测量电学方面各个实验中电流大小，可探究电路中电压、电流、电阻等量的关系。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</si>
  <si>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多量程电压传感器</t>
  </si>
  <si>
    <t>三量程：-25V~+25V/-6V~+6V/-1V~+1V，分辨率：0.1%量程，通过软件开关实现量程选择；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</si>
  <si>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多功能电流传感器</t>
  </si>
  <si>
    <t>量程：-3A~+3A，分辨率：0.01A；
★1、配置不小于3.5英寸显示屏，自带8个按键；2、自带触摸笔以及大容量可充电电池，电池可以拆卸利用充电器充电；3、支持无线和有线两种方式与终端设备进行通讯；4、具有4种显示模式，包含数字显示、仪表显示、列表显示和曲线显示；★5、报警功能:可设定报警方式为声音报警、灯光报警、振动；★6、内置8GB存储空间，可以对传感器数据进行录制并存储，也可以回放录制的数据；★7、支持6路传感器接口（拓展口),可对普通系列传感器进行数据采集；8、底部配有固定位，可以固定在铁架台上与传统设备结合；9、具有休眠功能，进入休眠模式后降低功耗，延长产品工作时时间；10、具有手动采集和自动采集两种功能，可以调节采集频；11、传感器系统内置二维码，可以随时扫描获取产品最新资料和更新；12、可以显示电池电量状态、存储状态、调节屏幕亮度；13、含有3个程控输出口，支持风扇、蜂鸣器、LED灯等；14、支持在Windows、Android、Linux、IOS系统平台进行实验应用。</t>
  </si>
  <si>
    <t>多功能电压传感器</t>
  </si>
  <si>
    <t>量程：-25V~+25V，分辨率：0.01V；
★1、配置不小于3.5英寸显示屏，自带8个按键；2、自带触摸笔以及大容量可充电电池，电池可以拆卸利用充电器充电；3、支持无线和有线两种方式与终端设备进行通讯；4、具有4种显示模式，包含数字显示、仪表显示、列表显示和曲线显示；★5、报警功能:可设定报警方式为声音报警、灯光报警、振动；★6、内置8GB存储空间，可以对传感器数据进行录制并存储，也可以回放录制的数据；★7、支持6路传感器接口（拓展口),可对普通系列传感器进行数据采集；8、底部配有固定位，可以固定在铁架台上与传统设备结合；9、具有休眠功能，进入休眠模式后降低功耗，延长产品工作时时间；10、具有手动采集和自动采集两种功能，可以调节采集频；11、传感器系统内置二维码，可以随时扫描获取产品最新资料和更新；12、可以显示电池电量状态、存储状态、调节屏幕亮度；13、含有3个程控输出口，支持风扇、蜂鸣器、LED灯等；14、支持在Windows、Android、Linux、IOS系统平台进行实验应用。</t>
  </si>
  <si>
    <t>多功能微电流传感器</t>
  </si>
  <si>
    <t>量程：-30μA~+30μA，分辨率：0.01μA；
★1、配置不小于3.5英寸显示屏，自带8个按键；2、自带触摸笔以及大容量可充电电池，电池可以拆卸利用充电器充电；3、支持无线和有线两种方式与终端设备进行通讯；4、具有4种显示模式，包含数字显示、仪表显示、列表显示和曲线显示；★5、报警功能:可设定报警方式为声音报警、灯光报警、振动；★6、内置8GB存储空间，可以对传感器数据进行录制并存储，也可以回放录制的数据；★7、支持6路传感器接口（拓展口),可对普通系列传感器进行数据采集；8、底部配有固定位，可以固定在铁架台上与传统设备结合；9、具有休眠功能，进入休眠模式后降低功耗，延长产品工作时时间；10、具有手动采集和自动采集两种功能，可以调节采集频；11、传感器系统内置二维码，可以随时扫描获取产品最新资料和更新；12、可以显示电池电量状态、存储状态、调节屏幕亮度；13、含有3个程控输出口，支持风扇、蜂鸣器、LED灯等；14、支持在Windows、Android、Linux、IOS系统平台进行实验应用。</t>
  </si>
  <si>
    <t>多功能磁感应强度传感器</t>
  </si>
  <si>
    <t>量程：-84mT~+84mT，分辨率：0.01mT；
★1、配置不小于3.5英寸显示屏，自带8个按键；2、自带触摸笔以及大容量可充电电池，电池可以拆卸利用充电器充电；3、支持无线和有线两种方式与终端设备进行通讯；4、具有4种显示模式，包含数字显示、仪表显示、列表显示和曲线显示；★5、报警功能:可设定报警方式为声音报警、灯光报警、振动；★6、内置8GB存储空间，可以对传感器数据进行录制并存储，也可以回放录制的数据；★7、支持6路传感器接口（拓展口),可对普通系列传感器进行数据采集；8、底部配有固定位，可以固定在铁架台上与传统设备结合；9、具有休眠功能，进入休眠模式后降低功耗，延长产品工作时时间；10、具有手动采集和自动采集两种功能，可以调节采集频；11、传感器系统内置二维码，可以随时扫描获取产品最新资料和更新；12、可以显示电池电量状态、存储状态、调节屏幕亮度；13、含有3个程控输出口，支持风扇、蜂鸣器、LED灯等；14、支持在Windows、Android、Linux、IOS系统平台进行实验应用。</t>
  </si>
  <si>
    <t>多功能光强传感器</t>
  </si>
  <si>
    <t>量程：0~8,000lux，分辨率：1lux；
★1、配置不小于3.5英寸显示屏，自带8个按键；2、自带触摸笔以及大容量可充电电池，电池可以拆卸利用充电器充电；3、支持无线和有线两种方式与终端设备进行通讯；4、具有4种显示模式，包含数字显示、仪表显示、列表显示和曲线显示；★5、报警功能:可设定报警方式为声音报警、灯光报警、振动；★6、内置8GB存储空间，可以对传感器数据进行录制并存储，也可以回放录制的数据；★7、支持6路传感器接口（拓展口),可对普通系列传感器进行数据采集；8、底部配有固定位，可以固定在铁架台上与传统设备结合；9、具有休眠功能，进入休眠模式后降低功耗，延长产品工作时时间；10、具有手动采集和自动采集两种功能，可以调节采集频；11、传感器系统内置二维码，可以随时扫描获取产品最新资料和更新；12、可以显示电池电量状态、存储状态、调节屏幕亮度；13、含有3个程控输出口，支持风扇、蜂鸣器、LED灯等；14、支持在Windows、Android、Linux、IOS系统平台进行实验应用。以下实验内容以电子文档方式提供实验演示视频文件：
1、多功能光强传感器单独使用，无需连接电脑、平板、采集器或显示模块；2、演示通过多功能光强传感器自带的触摸笔操作屏幕；
3、打开传感器，测量并观察当前环境中光的大小，在传感器上直接选择数字显示、仪表显示、数据列表显示或曲线显示模式；
4、演示传感器拓展口功能，多功能光强传感器任意拓展口与普通温度传感器对接，可以在屏幕上显示温度传感器的数据。</t>
  </si>
  <si>
    <t>多功能压强传感器</t>
  </si>
  <si>
    <t>量程：0~700Kpa，分辨率：0.1Kpa；配备1个30cc塑料针筒
★1、配置不小于3.5英寸显示屏，自带8个按键；2、自带触摸笔以及大容量可充电电池，电池可以拆卸利用充电器充电；3、支持无线和有线两种方式与终端设备进行通讯；4、具有4种显示模式，包含数字显示、仪表显示、列表显示和曲线显示；★5、报警功能:可设定报警方式为声音报警、灯光报警、振动；★6、内置8GB存储空间，可以对传感器数据进行录制并存储，也可以回放录制的数据；★7、支持6路传感器接口（拓展口),可对普通系列传感器进行数据采集；8、底部配有固定位，可以固定在铁架台上与传统设备结合；9、具有休眠功能，进入休眠模式后降低功耗，延长产品工作时时间；10、具有手动采集和自动采集两种功能，可以调节采集频；11、传感器系统内置二维码，可以随时扫描获取产品最新资料和更新；12、可以显示电池电量状态、存储状态、调节屏幕亮度；13、含有3个程控输出口，支持风扇、蜂鸣器、LED灯等；14、支持在Windows、Android、Linux、IOS系统平台进行实验应用。</t>
  </si>
  <si>
    <t>多功能氧气传感器</t>
  </si>
  <si>
    <t>量程：0~100%，分辨率：0.1%；
★1、配置不小于3.5英寸显示屏，自带8个按键；2、自带触摸笔以及大容量可充电电池，电池可以拆卸利用充电器充电；3、支持无线和有线两种方式与终端设备进行通讯；4、具有4种显示模式，包含数字显示、仪表显示、列表显示和曲线显示；★5、报警功能:可设定报警方式为声音报警、灯光报警、振动；★6、内置8GB存储空间，可以对传感器数据进行录制并存储，也可以回放录制的数据；★7、支持6路传感器接口（拓展口),可对普通系列传感器进行数据采集；8、底部配有固定位，可以固定在铁架台上与传统设备结合；9、具有休眠功能，进入休眠模式后降低功耗，延长产品工作时时间；10、具有手动采集和自动采集两种功能，可以调节采集频；11、传感器系统内置二维码，可以随时扫描获取产品最新资料和更新；12、可以显示电池电量状态、存储状态、调节屏幕亮度；13、含有3个程控输出口，支持风扇、蜂鸣器、LED灯等；14、支持在Windows、Android、Linux、IOS系统平台进行实验应用。</t>
  </si>
  <si>
    <t>相对压强传感器</t>
  </si>
  <si>
    <t>量程：-100~100kPa，分辨率：0.1kPa；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</si>
  <si>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温度传感器</t>
  </si>
  <si>
    <t>量程：-50℃~+200℃，分辨率：0.01℃；不锈钢探针，可测各种物体或溶液的温度。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</si>
  <si>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力传感器</t>
  </si>
  <si>
    <t>量程：-50N~+50N，分辨率：0.1%量程；可用于测拉力（显示正值）和压力（显示负值），可探究力的相互作用、二力平衡的条件，物体间瞬间碰撞力的变化等力学实验。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</si>
  <si>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光电门传感器</t>
  </si>
  <si>
    <t xml:space="preserve">量程：0~10Kms，分辨率：0.1mS；与导轨小车配合使用，能完成用光电门测平均速度、用光电门研究匀速直线运动、可测变速直线运动中的瞬时速度、向心力等实验。
传感器一体化设计，RJ45接口，连接插口采用RJ45接口，具有方向性和自锁功能，带有防滑暗扣，数据传输稳定；
</t>
  </si>
  <si>
    <t>一体位移传感器</t>
  </si>
  <si>
    <t>量程：0~2m，分辨率：0.002m；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</si>
  <si>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运动传感器</t>
  </si>
  <si>
    <t>量程：0~2m，分辨率：0.03mm；由发射器和接收器构成。发射器由电池供电，易与现有实验装置（运动小车、弹簧振子等）组合；可用于测量匀运动中小车的运动距离S与时间t的关系。
分体式设计，传感器通道连接插口采用RJ45接口，具有方向性和自锁功能，数据传输稳定；带有指示灯和传感器固定位；</t>
  </si>
  <si>
    <t>微小距离（位移）传感器</t>
  </si>
  <si>
    <t>量程：0-60mm，分辨率：0.6mm；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</si>
  <si>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旋转运动传感器</t>
  </si>
  <si>
    <t>量程：0~30转/秒，分度0.2；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</si>
  <si>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声强传感器</t>
  </si>
  <si>
    <t>量程：30dB~110dB，灵敏度：50dB±3dB，分辨率：0.1db；量程：30HZ-2000HZ，分辨率：1%量程；可探测声音的强度(dB)以及声音振动的频率，测量灵敏、精确，反应快速。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</si>
  <si>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表面温度传感器</t>
  </si>
  <si>
    <t>量程：-50℃~+200℃，分辨率：0.01℃；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</si>
  <si>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热辐射传感器</t>
  </si>
  <si>
    <t>量程：0-80℃，分辨率：0.1℃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</si>
  <si>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相对湿度传感器</t>
  </si>
  <si>
    <t>量程：0~100%，分辨率：0.1%；用于监测空气的相对湿度，测量灵敏、精确，反应快速。
1、传感器一体化设计，RJ45接口，连接插口采用RJ45接口，具有方向性和自锁功能，带有防滑暗扣，数据传输稳定；
2、传感器上配有通电指示灯；具有挂绳孔，可与配备的可拆卸挂绳连接，方便学生携带进行户外实验；
3、自带不少于2个传感器固定孔，方便多方位与其他固定装置配套使用，方便实验；
4、可分别支持iOS、Android、windows和Linux系统。</t>
  </si>
  <si>
    <t>高强度塑料仪器箱</t>
  </si>
  <si>
    <t>传感器仪器箱：采用高强度塑料生产，防跌落，抗摔落，从1米跌落无损坏；抗压性强，可耐50KG，一个成年人站立在箱子上，箱子无损坏。设备用软、硬质海绵卡槽固定。箱子不小于：475*350*170mm（误差10mm）。箱子有堆放设计，底部有凸出位，顶部有对应的凹入位，堆放时自动锁紧。为方便提放，采用大提手设计，不小于30cm长，提手自动嵌入箱子顶部，保证堆放是平整。带大尺寸旋转型锁扣，直径不少于8cm。箱子4面设计有标贴位，方便从不同角度快速找到对应的传感器。供货时需通过跌落测试。</t>
  </si>
  <si>
    <t>数据连接线</t>
  </si>
  <si>
    <t>USB数据线2条，RJ45数据线4条；</t>
  </si>
  <si>
    <t>连接套件</t>
  </si>
  <si>
    <t>传感器连接件2套，口哨型，规格不小于40*18*18mm，高强度连接件，内置高强度纯铜螺母，用来转接固定传感器等器材；</t>
  </si>
  <si>
    <t>多向转接头</t>
  </si>
  <si>
    <t>多向转接头2套，规格不小于34*20*18mm，高强度转接件，内置高强度纯铜螺母，方便固定在铁架台上，实现十字转接的功能。</t>
  </si>
  <si>
    <t>配套资料</t>
  </si>
  <si>
    <t>传感器使用说明书，实验手册；</t>
  </si>
  <si>
    <t>力的合成与分解实验器</t>
  </si>
  <si>
    <t>由固定装置、精密刻度圆盘、力传感器固定支架，传感器固定螺丝等部件组成，两个力传感器可以固定在支架上，并可调节两个支架之间的夹角，完成力的合成与分解实验。</t>
  </si>
  <si>
    <t>摩擦做功实验器</t>
  </si>
  <si>
    <t>由桌面固定底座、铜管、细线、绝热海绵管等部件组成，与温度传感器配合使用，可完成摩擦做功实验。</t>
  </si>
  <si>
    <t>摩擦力实验器</t>
  </si>
  <si>
    <t>实验器由底板、电机、摩擦板、摩擦块、力传感器固定装置、砝码等部件组成，底座可拆解，摩擦块可添加重物，与力传感器配合使用，可用来研究摩擦力相关实验。</t>
  </si>
  <si>
    <t>浮力实验器</t>
  </si>
  <si>
    <t>带有刻度的专用正方体实验器，实验器带有力传感器连接位，配有大小容器一对，升降装置一套,用于验证浮力定律。</t>
  </si>
  <si>
    <t>作用力与反作用力实验器</t>
  </si>
  <si>
    <t>实验器分三层，由底板层、防滑层、上部滑槽层构成，配有滑块、力传感器固定装置等部件。用来研究牛顿第三定律。</t>
  </si>
  <si>
    <t>查理定律实验器</t>
  </si>
  <si>
    <t>实验器由试管，专用密封塞等部件组成；配合压强传感器和温度传感器探究气体压强与温度的关系。</t>
  </si>
  <si>
    <t>安培力实验器</t>
  </si>
  <si>
    <t>实验器由底座、磁铁组、指针、带角度齿的转盘、矩形线框、连接位、传感器支架组成，配合电流传感器和微力传感器使用，研究安培力与供电电流以及电流方向与磁场夹角的关系。</t>
  </si>
  <si>
    <t>环形线圈</t>
  </si>
  <si>
    <t>无需电源、可折叠、可完成切割地磁场产生微小电流等实验。</t>
  </si>
  <si>
    <t>螺线管</t>
  </si>
  <si>
    <t>实验器由底座、铜导线、接线柱等组成。可接学生电源、与磁传感器配合使用，可通过磁传感器完成探究通电螺线管各处磁强的不同实验。</t>
  </si>
  <si>
    <t>玻璃导电实验器</t>
  </si>
  <si>
    <t>实验器由底板、电池座、导线支架、鳄鱼夹导线、接线柱、玻璃导电片等部件组成，与酒精灯、微电流传感器配合使用。</t>
  </si>
  <si>
    <t>温差实验仪</t>
  </si>
  <si>
    <t>由底座、接线柱、不同材料热导材料等部件组成，与微电流传感器配合使用。</t>
  </si>
  <si>
    <t>焦耳定律实验器</t>
  </si>
  <si>
    <t>三套不同的发热量热装置组成；可用实验器搭建出多种电路，与温度传感器配合使用，研究电流的热效应等相关因素之间的关系。</t>
  </si>
  <si>
    <t>楞次定律实验仪</t>
  </si>
  <si>
    <t>实验器由竖直固定螺线管、接线柱等部件组成，能完成楞次定律实验。</t>
  </si>
  <si>
    <t>电阻定律实验器</t>
  </si>
  <si>
    <t>由底座、直径不同等四种导体丝组成，配合电流、电压传感器使用，探究导体的电阻与材料、长度、横截面积等因素之间的关系。</t>
  </si>
  <si>
    <t>电磁铁实验器</t>
  </si>
  <si>
    <t>实验器由底座、三个不同线圈、接线柱等部件组成，与磁传感器配合使用，可测量不同匝数相同电流、有无铁芯相同匝数等情况下线圈中产生磁场强度。</t>
  </si>
  <si>
    <t>金属热膨胀实验器</t>
  </si>
  <si>
    <t>由底座、力传感器固定位、金属拉丝等部件组成，与力传感器配合使用,探究金属热膨胀规律。</t>
  </si>
  <si>
    <t>水果电池实验器</t>
  </si>
  <si>
    <t>由水果圆盘、不同材质的传导探针、底座、接线柱等部分组成，探究水果电池原理。</t>
  </si>
  <si>
    <t>光合作用实验箱</t>
  </si>
  <si>
    <t>亚克力底座和外壳，配有温度、氧气、二氧化碳等传感器插口，可配合氧气传感器、二氧化碳传感器、温度传感器使用，研究二氧化碳、氧气等因素对叶片光合作用或与呼吸作用的影响。</t>
  </si>
  <si>
    <t>人体发电实验器</t>
  </si>
  <si>
    <t>由底座、接线柱和四种手柄构成。与微电流传感器配合使用。可用来探究原电池的原理，研究人体原电池的发电与哪些因素有关。</t>
  </si>
  <si>
    <t>学生端数字化探究仪器及实验配套附件</t>
  </si>
  <si>
    <t xml:space="preserve">1、便携式一体化数据采集器，自带操作系统，全塑壳设计，厚度不超过30mm，轻便，采集器配有10英寸以上高清彩色显示屏，内置高灵敏电容触摸屏（TP）;
2、采集器支持多种传感器类型：数模混合传感器、数字传感器、无线传感器等类型；
3、内置多通道高速数据采集模块，配有丰富的传感器接口，采集器具备不少于8路的有线传感器接口；分别为4路数字模拟混合传感器接口和4路纯数字传感器接口或更多；其中混合传感器接口设计在面板上，且接口带暗扣设计，能有效防止实验过程中传感器脱落；另外的纯数字传感器接口采用标准USB接口，分别位于采集器的左右两侧，保证在多传感器同步实验时，操作更便利；
4、内置无线蓝牙传感器通讯模块，可同时连接4路的蓝牙传感器或更多,进行同步实验；
5、内置有丰富的多媒体接口：音频输入口、音频输出口、扬声器接口或更多；
6、为适应不同的教学环境，内置有双模式高速网络通道：1）有线模式，高速有线网络接口1路，可通过网线直接连入校园网，访问云存储空间；2）无线模式，高速WiFi接口1路，可通过无线网络直接联网，免除对实验室布线的麻烦；
7、内置有TF卡接口一路，可保存大容量实验数据，便于实验数据共享；
8、为便于现场实验教学分享，内置有HDMI高清数字输出通道，可将实验过程投屏到投影机等大屏幕设备上，进行教学辅导；
9、为了适应不同的使用场景，采集器内置两路独立的充电接口或更多，分别位于右侧和底部，并配有一个电源指示灯；
10、为保证在连接数字显微镜等设备时，保证供电稳定，内置有独立的大功率接口，接口采用通用的USB接口；
11、便携式设计，产品背部嵌有高强度金属提手（提手不短于：100mm，（偏差&lt;5mm）），方便户外实验操作；提手打开时可形成视角，方便放置在桌面进行实验。
</t>
  </si>
  <si>
    <t xml:space="preserve">1、支持“实验教学与管理信息系统”，实时记录实验教与学行为，为评测与分析提供完整的数据基础，拓展器内置《基础实验辅助控制软件》。
2、支持多种传感器接口通道，提高系统的兼容性与拓展性。
3、记录型拓展器内置有16路传感器采集通道，含8个带防脱落功能的接口，可满足不同的使用场合。
4、有2个拨动开关，用于控制电源和传感器接口。
5、内置8个按键和8个状态指示灯；按键功能分别为：日期设置、使用记录、返回、确定、上、下、左、右。
6、内置实时时钟并具备不断电日期功能，可以准确记录使用时间到某年某月某日某时某分，并记录每次使用的时长，日期时间不会因为关机而重新设置，保证为实验教与学行为分析提供精准的数据基础。
7、内置彩色显示屏，可同时显示实验教与学行为的跟踪记录，和传感器通道状态，也可初始化日期时间。
8、内置存储空间可记录长达1年的实验教与学行为记录；记录型拓展器可以一键进入查看1年内分月实验使用统计情况。
9、内置USB接口，用于导出记录、与PC/PAD/一体化数据采集器数据交换，同时提供额外的供电接口，保证在连接大功率传感器的时候系统正常运作。
10、护眼滚动调节器，无极调节屏幕亮度，可以根据环境以及学生的生理情况实现科学用眼。内置报警蜂鸣器，传感器接入时提示。
</t>
  </si>
  <si>
    <t>电流传感器</t>
  </si>
  <si>
    <t>量程：-1.5A~+1.5A，分辨率：0.1%量程；用于测量电学方面各个实验中电流大小，可探究电路中电压、电流、电阻等量的关系。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</si>
  <si>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电压传感器</t>
  </si>
  <si>
    <t>量程：-15V~+15V，分辨率：0.1%量程；用于测量电学方面各个实验中电压大小，可探究电路中电压、电流、电阻等量的关系。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</si>
  <si>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微电流传感器</t>
  </si>
  <si>
    <t>量程：-10μA~+10μA，分辨率：0.1%量程；用于测量电学方面各个实验中的较小电流大小。可探究电路中的电压、电流、电阻等量的关系，可以动生电动势实验器配套使用，测量不同线圈产生的微弱电流等实验。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</si>
  <si>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量程：-50N~+50N，分辨率：0.1%量程；可用于测拉力（显示正值）和压力（显示负值），可探究力的相互作用、二力平衡的条件，物体间瞬间碰撞力的变化等力学实验。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</si>
  <si>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 xml:space="preserve">量程：0~10Kms，分辨率：0.1mS；与导轨小车配合使用，能完成用光电门测平均速度、用光电门研究匀速直线运动、可测变速直线运动中的瞬时速度、向心力等实验。
传感器一体化设计，连接插口采用RJ45接口，具有方向性和自锁功能，带有防滑暗扣，数据传输稳定；
</t>
  </si>
  <si>
    <t>量程：0~2m，分辨率：0.03mm
分体式设计，传感器通道连接插口采用RJ45接口，具有方向性和自锁功能，数据传输稳定；带有指示灯和传感器固定位；</t>
  </si>
  <si>
    <t>磁感应强度传感器</t>
  </si>
  <si>
    <t>量程：-42mT~+42mT，分辨率：0.1%量程；用于测量磁场的强弱。与条形磁铁配合使用，能测磁体周围磁场强弱等有关实验。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</si>
  <si>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氧气传感器</t>
  </si>
  <si>
    <t>量程：0~100%，分辨率：0.1%；用于测量待测气体中氧气含量的百分比，抗氧化性强，测量灵敏、精确，反应快速，可完成人体呼吸作用，光合作用等实验。
1、传感器一体化设计，连接插口采用RJ45接口，具有方向性和自锁功能，带有防滑暗扣，数据传输稳定；
2、具有质轻、绝缘、耐腐蚀、抗冲击等特性；
传感器上配有通电指示灯；
3、自带不少于2个传感器固定孔，方便多方位与其他固定装置（如铁架台等）配套使用，方便实验；
4、可分别支持iOS、Android、windows和Linux系统。</t>
  </si>
  <si>
    <t>量程：30dB~110dB，灵敏度：50dB±3dB，分辨率：0.1db；量程：30HZ-2000HZ，分辨率：1%量程；可探测声音的强度(dB)以及声音振动的频率，测量灵敏、精确，反应快速。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</si>
  <si>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光强传感器</t>
  </si>
  <si>
    <t>量程：0~8,000lux，分辨率：1lux；传感器前端置有光强探头，可灵敏感应光线强弱的变化，用于测量被测环境的光强值。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</si>
  <si>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压强传感器</t>
  </si>
  <si>
    <t>量程：0~400Kpa，分辨率：0.04Kpa配备1个30cc塑料针筒；可用于测量大气环境下或密闭空间内的气体的压强，可以研究同等质量的气体，压强和体积的变化等有关实验。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</si>
  <si>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量程：0~100%，分辨率：0.1%；用于监测空气的相对湿度，测量灵敏、精确，反应快速。
1、传感器一体化设计，连接插口采用RJ45接口，具有方向性和自锁功能，带有防滑暗扣，数据传输稳定；
2、具有质轻、绝缘、耐腐蚀、抗冲击等特性；传感器上配有通电指示灯；
3、自带不少于2个传感器固定孔，方便多方位与其他固定装置配套使用，方便实验；
4、可分别支持iOS、Android、windows和Linux系统。</t>
  </si>
  <si>
    <t>实验器由底座、磁铁组、、指针、带角度齿的转盘、矩形线框、连接位、传感器支架组成，配合电流传感器和微力传感器使用，研究安培力与供电电流以及电流方向与磁场夹角的关系。</t>
  </si>
  <si>
    <t>仪器储藏柜</t>
  </si>
  <si>
    <t xml:space="preserve">1、规格1000*500*2000mm ，PP材质，蓝色。
2、柜体：侧板、顶板及底板均采用增强型PP材质，一次注塑成型 。表面做磨砂处理 ，结构紧密 ，耐腐蚀性强 
3、上柜门：采用增强型PP材质一次注塑成型 ，外嵌4mm钢化烤漆玻璃,中间玻璃做镂空处理 ，透明可视 
4、下柜门：采用增强型PP材质一次注塑成型 
5、层板： 上部配两块活动层板 ，下部配一块活动层板 。层板为增强型PP材质一次注塑成型，层板中有两条 10mm*20mm*950钢板，注塑时预埋钢板 ，钢板增强了层板承重强度，也避免了后安装钢制横梁 ，避免腐蚀 。美观耐用 。层板可以抽取 ， 自由组合各层空间 。
6、门把手：采用增强型PP材质一次注塑成型 ，美观耐用 
7、门铰链 ：用增强型PP材质一次注塑成型 ，内嵌隐藏安装方便 ，耐腐蚀。
</t>
  </si>
  <si>
    <t>汝南县刘屯小学心理辅导室设备设施配置清单</t>
  </si>
  <si>
    <t>序列</t>
  </si>
  <si>
    <t>功能室（参考面积）</t>
  </si>
  <si>
    <t>功能室介绍</t>
  </si>
  <si>
    <t>产品名称</t>
  </si>
  <si>
    <t>参考图</t>
  </si>
  <si>
    <t>技术参数</t>
  </si>
  <si>
    <t>作用说明</t>
  </si>
  <si>
    <t xml:space="preserve">
心理咨询室13.86㎡
（办公接待+个体辅导）</t>
  </si>
  <si>
    <t>心理教师办公、接待来访者、登记来访者预约信息、存放来访者心理档案、管理心理教育室和心理辅导室的场所，可以实现办公、接待、管理等功能。心理教师在功能室对来访者开展问题排查、判断和认知调整等工作。</t>
  </si>
  <si>
    <t>办公桌椅</t>
  </si>
  <si>
    <t>1、规格尺寸：1400*700*750mm；
2、桌面采用 E1 优质环保实木颗粒板，甲醛释放量≤1.5mg/100g；密度≥ 51.2Mpa,吸水膨胀率≤8.1%，经高压、高温、防蛀处理，手感好、无色差，有良好的吸音和隔音性能，承重力好； 
3、封边：采用2.0mm优质PVC封边条，使用高温封边机自动封边。</t>
  </si>
  <si>
    <t>办公用</t>
  </si>
  <si>
    <t>办公椅</t>
  </si>
  <si>
    <t>1、面料：采用透气网布制成，座面用高回弹海绵制成，椅座上部分采用新料塑料架制成，结实耐用；
2、座面海绵：高回弹海绵，久座不变形，长久保持座感的舒适；
3、五星脚：标准电镀，承压500KG以上。</t>
  </si>
  <si>
    <t>计算机</t>
  </si>
  <si>
    <t>机型：国产台式计算机
1、机箱≥13L，配置≥1 颗国产CPU，处理器采用板载设计，每颗 CPU 物理 核心数≥ 8 核，线程数量≥8 ,每 颗 CPU 主 频 ≥ 2.7GHz，每颗 CPU 三级缓存≥8MB；
2、内存：容量≥8GB；频率≥2666Mhz；
3、硬盘： ≥512G M.2 NVme SSD；
4、网卡：≥1个 LAN 1000M；
5、显卡：独立显卡，显存≥2GB；
6、电源：功率≤180W ，单路电源，电源通过80PLUS认证，提供证明或出货电源铭牌照片；
7、声卡：集成5.1声道声卡；
8、接口： 前置USB3.0接口≥4个，采用可抽拉式防尘盖板设计；后置USB3.0接口≥2个， USB2.0≥2个；
9、机箱尺寸≥18L；自带顶置提手,整机支持免工具拆卸；
10、整机通过CCC认证、节能认证、环境认证；噪声声功率集≤1.84Bel(A),噪声声压级≤11.65dB（A）； 
11、显示器：≥同品牌23.8英寸的显示器，VGA HDMI 双接口，标配HDMI线缆，分辨率不低于1920*1080；
12、服务资质：原厂3年整机保修，3年上门服务，整机交付时包含原厂门到桌安装服务；
13、系统恢复功能：整机出厂标配BIOS级备份恢复功能；在OS无法运行，所在分区被破坏的情况下，通过BIOS仍能启动恢复功能实现OS恢复；可按需恢复到用户的任意备份点；
14、端口安全：整机配置BIOS级USB屏蔽功能，USB支持BIOS下全部接口一键开关、全部接口一键只读、前后置USB口分组开关、前后置USB口分组只读、USB口逐个开关、USB口逐个只读；</t>
  </si>
  <si>
    <t>心育自助服务系统</t>
  </si>
  <si>
    <t>一、系统简介：
  心育自助服务系统是一款致力于帮助学生改善心理健康和增强心理适应能力的自助服务系统。提供了心理自助课堂、心理自助训练、运动放松调节等内容，通过视频的形式，帮助用户了解心理问题的本质和解决方法。系统提供多种心理自助训练，帮助用户提高自我认知和自我调节能力，以达到减轻心理压力和焦虑情绪的效果。心育自助服务系统是一款集学习、训练、调节、服务于一体的心理自助服务系统，旨在帮助用户提高心理健康和适应能力，同时提供在线预约和紧急援助等服务，帮助学生更好地应对学习和生活中碰到的问题。
二、硬件参数：使用终端(22)，整机尺寸：≥长440*宽590*高1480mm；表面材质：前覆钢化玻璃机，铝合金氧化边框，五金后盖，圆角，安装方式：立式，边框颜色：白色+蓝色；
三、用户注册登录： 
3.1、支持密码登陆和人脸登陆进入系统；
3.2、支持可通过手机号验证码找回密码；
四、软件系统功能：
系统主要分为心理自助课堂、心理自助训练、运动放松调节、互动训练、预约咨询、紧急援助、机构风采等不少于7个功能模块。
▲4.1心理自助课堂：支持提供爱的化解、打败嫉妒、放下手机、合理拒绝、纠正偏科、科学自信等不少于6个主题类的课程教学视频。
▲4.2心理自助训练：提供爱的化解、打败嫉妒、放下手机、合理拒绝、纠正偏科、科学自信等不少于6个主题类的课程教学视频。
4.3运动放松调节：提供多种运动放松调节方式，如前后交叉小跳、原地慢跑、屈膝后侧拉伸等运动，通过身体活动来缓解压力、舒缓紧张情绪、提升心理健康的不少于4个课程教学视频。
4.4互动训练：提供专注力训练、情绪主题、认知主题等不少于3个训练模块。
4.4.1专注力训练：专注力训练至少提供黑桃A、圈数字、观察力训练、反应力训练、舒尔特方格等5个训练项目。
4.4.2情绪主题：情绪主题提供情绪区分、情绪来源、情绪识别等不少于3个情绪训练项目，训练后提供情绪的识别、认知性情绪、条件性情绪等视频内容学习。
▲4.4.2.1情绪主题训练包括：（你会区分积极情绪与消极情绪吗？你知道情绪有几种来源吗？你能从成语中识别常见的潜意识条件性情绪反应吗？）不少于3个训练内容，训练后可进行情绪识别、认知性情绪、和条件性情绪视频内容的学习。
4.4.3认知主题：认知主题提供被老师批评了、考试没有考好、调整情绪还是会焦虑等不少于3个认知训练项目，训练后提供知识与思维、行为间的关系，情绪与思维关系的视频内容学习。
▲4.4.3.1认知主题训练包括：（如果被老师批评了，心情不好时，你应该怎么想”？考试没有考好，你心情不好时，应该怎么想”？运用深呼吸、运动等方式来调整情绪，可是我有时还是会感到焦虑怎么办？）不少于3个训练内容，支持答题后给出对应的指导提示和视频内容学习。
4.5预约咨询：支持心理老师在线预约咨询服务功能和设备在线预约功能。
4.5.1支持用户在线预约心理老师，查看预约咨询信息，包括可预约的心理老师姓名、心理老师简介、具体时间等信息，用户根据需求选择相应咨询师进行预约时，须填写申请原因并选择心理老师咨询时段进行预约申请，同时可对预约信息进行取消操作。
4.5.2支持用户可查看预约心理设备信息，包括设备介绍、可预约时间等信息，用户根据需求选择心理设备进行预约，同时可对预约设备进行取消操作。
▲4.6紧急援助：帮助用户在危急情况下迅速联系到紧急联系人。
4.7数据对接功能：支持与心理云平台实现用户数据对接，可通过心理云平台入口为自助服务系统实现用户信息的录入、保存、删除、报告等管理功能。训练者完成不同的训练模块会得到不同数据报告，其中报告分为训练数据，训练详情、训练表现、报告总结等模块，后台可支持导出报告或删除报告。
4.8动态屏保：支持可控制设备屏幕保护功能的开启和关闭功能。
4.9个人信息管理：支持可记录头像、昵称、性别、年龄、出生年月、学校、年级和班级信息。
5.1机构风采：支持以文字、图片、视频等形式展示机构整体形象、文化特点和教育品质作品等。</t>
  </si>
  <si>
    <t>软件+硬件，心理自助训练、预约咨询、紧急援助、机构风采</t>
  </si>
  <si>
    <t>校园心育系统</t>
  </si>
  <si>
    <t>一、系统简介
自开通之日起使用期6年，校园心育系统基于科学心理学、云计算、物联网、人工智能以及大数据，为学校或者区县级及以上教育系统搭建的心理大数据云平台，可实现心育工作在教育系统的纵向互通，在家校社的横向互联。
平台围绕心育工作的相关组织和人员，紧扣心育工作相关举措，打造了一个从心理筛查、心理评估、预警管理、学生心理发展、教育教学、家庭教育、心育科研等功能的心育闭环平台。平台人员涵盖教育管理者、教师（心理老师、班主任等所有教师）、学生、家长，社会力量等。在教育系统内实现心理普查测评、危机管理、心理辅导管理、心理课堂、教师成长、设备管理、心理档案、心育大数据统计、展示、分析研究等功能；在家校间实现心理普查、智慧家长培育、家校观察、家校心育活动互动等家校共育功能；在家校社实现科学心理技术、实用心理资源、实效心育经验、优质心理师资的共享共融。
平台可以有效提高心育工作管理水平和工作效率；可形成大量的心育数据，助力教育研究；可调动更多力量参与心育工作，形成纵向互通，横向互联的全面心育模式；可全面普及科学心理知识，惠及更多学生、教师与家长，从而实现心理预防教育，心理健康辅导，心理教育优化的建设目标。
二、技术概述： 
2.1系统架构：整个系统基于B/S架构，采用应用服务器+数据库+客户端浏览器的运行模式。服务器端通过在计算机阿里云云端集群上搭建基于Spring Cloud的微服务平台（其中包括注册中心、配置中心、权限验证中心、网关等在内的多个基础组件）、设置独立的数据库服务器支持数据持久化等技术，来确保整个系统能够安全、稳定、高效运行并具有灵活性、可扩展性和可复用性的特点。客户端以Chrome浏览器为操作界面，并能够兼容360、Firefox等市面常见浏览器。
2.2数据库：使用MySQL作为数据库管理平台，同时采用分布式文件存储数据库MongoDB存储大数据内容，能高效检索和做数据分析。
2.3系统部署：整个微服务系统采用Docker进行部署，并使用Kubernetes进行容器管理；支持分布式均衡负载、多级节点部署，用户按需接入服务
2.4数据安全：采用用户权限管理、MD5加密、数据库加密、磁盘阵列服务器等多种安全策略保护信息安全；
2.5采用分布式缓存中间件redis，稳定可靠的缓存服务，提高请求效率
2.6公司平台通过等保安全认证二级，安全保障级别高
2.7软件SAAS化，软件及服务，高性能低成本扩展强，易维护，统一化管理
2.8系统云服务部署，阿里云的安全和运维配套设施保障基础服务的稳定和安全
三、基础数据服务系统
3.1支持部门、角色以及人员管理和设置，满足客户的基本使用要求，包含部门管理、角色管理、机构人员管理、老师管理、学生管理功能；
3.2支持部门管理：部门管理功能中，支持为每个部门添加多个年级，并且在每个年级下可以进一步添加多个班级。可以轻松添加、编辑和删除年级和班级；
3.3支持角色管理：可以添加对应的角色，同时给角色赋予相应系统模块权限，达到通过角色控制系统权限的目的，方便管理员统一管理该角色类型用户。
3.4支持机构人员管理：按照学生、老师、普通用户、角色三个层级方便地添加、修改和删除机构人员，以适应机构内部的人员调整和变动，确保人员列表的准确性和及时性；
3.5支持老师管理：通过老师管理功能，可以方便地添加、修改和删除老师，以适应机构内部的人员调整和变动，确保人员列表的准确性和及时性。老师信息主要有姓名、生日、性别、手机号、管理班级等信息，同时给老师赋予相应的岗位和角色权限控制，支持批量导入和批量下载，并支持对指定人员批量换部门；
3.6支持学生管理：通过学生管理功能，可以方便地添加、修改和删除学生，学生信息主要有账号、姓名、密码、性别、学号等，同时给学生赋予相应的角色配置控制，支持单个学生用户增加和批量导入和批量下载学生信息的功能，并支持对指定人员批量换部门；
3.7支持权限设置为上级可看下级，平级不可查看，下级不可看上级；基础的角色权限配置模块；机构管理人员-&gt;老师-&gt;学生；完整的用户、角色、权限管理模块，其中权限支持到具体功能模块的菜单权限，自定义设置角色查看模块权限；
3.8支持添加的学生和老师用户，互通登录云平台和云平台对应相同的硬件设备；
3.9支持批量导入用户和二维码注册分享功能，批量导入：一次性批量导入用户资料生成登录帐号、密码、姓名、性别等信息，二维码注册：支持后台设置对应角色并生成对应二维码分析给指定用户，用户扫码后填入对应信息即可拥有分析角色权限；
3.10支持管理员可以对注册用户进行审核、统一管理，支持批量删除、新增用户的功能；
3.11支持平台内终端设备账号信息登陆互通功能，用户可用同一账号在不同终端设备之间进行登陆访问；
3.12基础数据服务是系统的基石，负责系统的登录、用户信息管理以及所有系统的权限设置，功能强大且安全可靠。
四、家校心育中心
家校共育心理服务中心是为了促进家庭和学校之间的合作，助力家长、学生、教师心理发展的心育服务中心。它旨在帮助家长、教师和学生建立良好的沟通和互动，在孩子的心育工作上达到共识，最终在科学心理观下打造良好的家校沟通环境，共同关注和助力孩子的心理健康和成长。
4.1心理预约：学校的心理老师入驻平台后，为学校师生和家长开放预约时间表，学校师生及家长可在线对本校的心理老师进行心理咨询预约；
4.2心理普查：师生及家长可在平台完成学校的心理普查和测评、家庭教育调研等工作；
4.3家校共育：针对学生的问题，在家校间进行观察、跟踪和问题上报，并支持在对应学生校园心理辅导期间通过此模块完成辅导治疗家庭作业，助于家长和教师更全面地了解学生的发展，同步学生成长信息，协同采取相应的支持措施；
4.4心理知识科普：适合教师、学生与家长学习的科普公益性课堂，内容涵盖学习心理、人际关系、生活、性格等层面，围绕问题相关的情绪、思维、行为、认知评价等展开。旨在普及科学心理知识，助力教育教学和家庭教育；课程内容包括“如何引导爱玩手机的孩子”、“如何预防和减少青春期逆反”、“如何识别孩子心理健康预警信号”、“如何培养孩子热爱父母的优秀品格”等内容，且内容会定期常态化更新，内容是在科学心理技术体系下由心理技术与教育教学经验丰富的专业团队打造，科学实效且无任何版权问题。课程通俗易懂，实用，旨在让教师、家长学生提供学习科学的心育观，降低焦虑，助力学生成长与家庭教育；
4.5校园心理活动：通过一系列精心策划与设计的心理活动，为学生心理素质的提升铺设坚实的基石，助力他们增强面对生活与挑战的能力，从而推动个人全方位的成长与发展。在此基础上，学校机构能够自主管理并发布各类心理活动，包括活动详情、时间、地点等关信息，确保信息的时效性和准确性。通过智能化的管理平台，学校机构可以轻松追踪活动的发布状态，实时活动进展。学生只需通过线上平台，即可轻松完成活动报名，无需繁琐的线下流程，大提升了参与便利性。
学校机构可发布各类社区信息，包括但不限于心理健康知识、成长建议、活动预告等，为学生健康成长提供全方位的支持
4.6 动态观察：支持在教师端/家长端上传问题学生异常情况至心理健康中心。
4.7校内辅导：支持教师端/家长端对申请辅导的学生进行同意并查看辅导记录。
五、危机管理中心
危机管理中心产品模块的定位是一款专门针对心理危机管理而设计的系统。它旨在提供针对个体或组织在面对心理危机时的支持和帮助，包括心理筛查、心理评估、危机干预、档案管理、个体辅导等核心功能，为实现新生心理普查、学生心理问题评估、危机筛查和学生心理档案建立等工作提升效率，展现心理健康工作成果。
5.1支持心理健康管理数据概况总览：包括机构介绍、数据总览、快捷入口、查看学生总数、老师总数、预警人数、普查测评报告数。
5.2支持普查测评关于动机、行为、家庭教养方式、能力、人格等方面。
5.3发起普查：自定义发布普查计划包括设置普查名称、普查说明、普查开始时间、结束时间、发布范围、发布对象、报告查看权限、量表查看权限等，内置丰富量表进行选择，支持单次普查计划发放多个量表；系统新增普查任务后，系统会自动生成普查任务链接（手机、电脑）和测评二维码。
5.4▲普查列表：普查动态：可对测评计划的测评进度按照已普查人数、未普查人数等状态进行统计，形成统计图表；查看普查报告包含普查筛查标准、筛查工具、心理测试分析、预警名单、对策与建议；预警名单可对普查存在风险或问题的人员进行识别预警级别和名单；
5.5日常观察：支持查看和管理教师端/家长端上报日常观察异常学生数据。
5.6▲校内评估：量表评估：支持通过使用标准化的心理测量工具来评估受测者在某些特定领域的心理特征或状态，可针对普查预警名单人员发起二次测评操作；心理访谈：心理工作者与受测者的交谈；
5.7▲家校观察评估：家校观察记录：记录个体的信息，在学校及家里生活中的行为和情绪变化、学习表现、思维等信息；共享观察记录：支持观察记录数据共享；家校观察数据删除；
5.8医院评估：管理校内学生转介或在外医院心理治疗信息，下载建议书：提供规范文档下载功能；医院诊断书：支持上传学生医院诊断信息并存档；评估结果：支持为当前案例信息输入危机程度、干预措施、风险类型等信息；在校状态：支持对学生的休学、复学状态进行变更和记录。
5.9 评估总结：支持包括量表评估结果、心理访谈记录、观察记录查看，在完成心理评估后，对受测者的情况进行等级标记、描述汇总。
5.10个体危机管理：危机库按照风险类型和危机程度统计平台内所有危机数据，支持将危机数据使用校内辅导、校外转介等干预方式；支持对预警用户的预警级别进行流转；危机上报：支持将对应材料上报至上级机构（诊断书、家校观察记录、心理访谈记录、量表评估）
5.11▲个体心理辅导：个体辅导记录：可添加多次记录、老师访谈记录、家长访谈记录、辅导总结等，辅导记录包括辅导时间、个人基础信息、辅导目标、主要问题、家庭情况、辅导方案等内容；针对辅导用户可发起日常运动、设备辅助、资源学习等辅导帮助；支持开放辅导数据；支持导出辅导数据；
5.12普查档案：可对个人普查档案进行管理；个人普查档案包含基本信息、因子得分、总体分析等内容。
5.13排班统计：支持咨询师临时取消咨询、临时修改排班、查看当周所接咨询任务，并查看学生预约记录/设备预约记录。
5.14排班管理：管理员支持对心理老师排班和物联设备预约时段、预约次数进行设置、修改、删除预约的初始时间段和结束时间段。
5.15▲上报管理：普查上报：查看下级对上级进行上报的普查数据；普查档案上报：支持查看下级对上级进行上报的普查档案数据；危机上报：支持查看下级对上级进行上报的危机预警数据；
六、智慧心大数据中心
6.1 支持以学校为单位的数据查看与分析。
6.2支持数据可视化展示功能，通过曲线图、柱形图、饼状图等图表的方式展示机构内的不同心理数据，动态监测心理大数据。
6.3支持查看机构数据分析，通过对比折线图的形式体现当前机构数量月度趋势。
6.4支持师资数据分析，包括当前教师总数、各类型用户师资配比，查看到心理老师、普通老师、班主任等师资分布比例和数量。
6.5支持学生人数数据分析，包括学生总人数、学生男女性别分布。
6.6支持学生年级人数分布分析，按照各年级统计学生人数。
6.7支持查看一定时间范围内新增和日活的数据量。
6.8支持对学校内心理普查的次数以及测评数据的预警与非预警分析，便于及时发现问题，进行处理。
6.9支持查看学校内心理教育功能室功能室数量、设备数、课程参与人数、课程开放数等数据。
6.10根据云平台收集到的有关数据，对区域内普查危机预警统计数据，预警分布情况，预警趋势分析，预警年龄阶段占比、设备使用情况、设备类型分类等内容，通过图表的方式呈现，更直观，便于学校领导进行管理和督导。
6.11 根据老师和心理老师以等用户的数量情况，统计师资占比，直观反应该区域心理老师配比情况，为学校合理部署专业人员提供参考依据。
6.12统计学校心理预警数据，包括测评总数、预警数、整体呈现该区域整体心理预警情况。 
6.13大数据平台后台采用先进的分布书文件存储，查询速度和分析功能强大，能高效分析和检索数据。
七、物联设备管理（与已有终端设备联接）
7.1校园心育系统统一、集中、汇总性的报表系统，所有统计分析类的数据，包括数据总览，明细列表，图表分析展示、列表展示、数据搜索等数据报表。
7.2支持查看所购买过的并且有权限同时已上云的设备APP使用的数据概览和使用数据的明细列表，并且可以通过跟踪筛选条件进行分维度筛选。
7.3支持查看云平台自身系统的使用数据，作为用户行为数据分析和用户行为数据的日志数据，并且在有权限的情况下可以查看明细；通过用户行为数据分析也可以得出一些参考指导建议。</t>
  </si>
  <si>
    <t>大数据管理、危机干预、心理测评、心理普查、心理辅导台账、家校课堂等</t>
  </si>
  <si>
    <t>6年</t>
  </si>
  <si>
    <t>心理课课例设计与实践课程</t>
  </si>
  <si>
    <t xml:space="preserve">1、心理课课例设计与实践课程电子教材1套（U盘2个）
2、心理课课例设计与实践课程配套纸质教材4本
3、教材配套专业心理技术学习用书4本
4、心理课课例设计与实践课程道具箱1套
5、学生用手册100本
6、实效化的心理课课例设计与实践课程培训服务1套:
线上培训内容：每季度1次，共计4次。其中单数月份是示范课，由专家带领进行示范研讨学习；双数月份在线解决教材的应用问题，如怎样把教材用好？如何建立教材的支持体系？如何建立课程的管理体系？如何在心理课落地过程中联合家长形成家校合力？如何使科学心理学和心理课程在教学教育中的意义最大化等实效化落地服务。
7、技术支持服务系统：在教材应用与培训期间，提供线上在线答疑服务，为老师们在教学与咨询中的问题进行答疑。
</t>
  </si>
  <si>
    <t>课堂学习心理知识的课程</t>
  </si>
  <si>
    <t>学习状态调整系统</t>
  </si>
  <si>
    <t>一、系统简介：
    学习状态调整系统是一款针对具有偏科、厌学、分心、考试焦虑四种常见学习障碍进行系统辅导的科学系统，而没有明显学习障碍的学生运使用此产品训练之后可有效预防严重学习障碍的发生。系统结合案例从四种学习障碍形成的原因、过程等方面进行深入的讲解和教学，手把手为学校心理老师、各任课老师、班主任、年级组长有效识别学习障碍学生，为其及时提供科学辅导提供依据。此系统从学、训、练、防、治等多个角度切入，是一款有效调整学习状态，提升学习效率的产品。
二、系统配置：
1、使用终端(10)外形尺寸：≥L240mm*W155mm*H8mm；设备自身集成摄录像、蓝牙、扩展口、互联网等功能。运行速度流畅，多点式触摸，使用方便，携带方便，视觉体验出众。
2、多功能生理指标采集系统：采用无线蓝牙指脉式生理指标采集，集成手腕式生物反馈系统，精确反馈人体多项生理指标，实现无线数据传输。摆脱使用USB等数据线形式，在有效距离为5米内，可以在房间内自由活动，减少用户在训练过程中的束缚感，可直观地在移动终端设备实现24小时血氧、脉率生理指标监测。
3、便携式手拎箱，携带方便，箱子尺寸：≥410mm（长）*240mm（宽）*110mm（高）
三、软件系统功能：
1、支持用户名（身份）、密码和刷脸两种模式登录系统。
2、系统分为问卷中心、案例中心、学习中心、调节训练、放松训练以及数据中心等不少于六大模块。
▲3、问卷中心：提供厌学、偏科、分心、考试焦虑等问卷测试，并查看报告相应的建议；
3.1该问卷可全面评估来访者厌学、偏科、分心、考试焦虑等四类学习障碍心理健康状况，为来访者心理辅导和心理训练提供参考依据。
4、案例中心：提供厌学、偏科、分心、考试焦虑等不少于4种常见案例视频内容；
4.1厌学、偏科、分心、考试焦虑等属于常见影响学生学习成绩的因素，系统设计了常见案例类型，旨在帮助学生调整学习状态。
▲5、学习中心：提供厌学、偏科、分心、考试焦虑等学习案例，从了解问题、 学习案例、全面解析问题表现、发现方法、辅导策略完成学习，生成学习建议报告；
5.1通过微课程形势对厌学、偏科、分心、考试焦虑这四种常见学习障碍进行系统解析，采用情景导入的方式，包括定义、表现形式、心理机制分析以及形成过程，并提出针对性的解决方案，且每种学习障碍均配以一个典型案例。
6、调节训练：高空行走、万物生长、勇攀山峰、海底探险、激流冲浪等不少于5种训练；
▲6.1、高空行走、万物生长、勇攀山峰、海底探险、激流冲浪均有训练介绍视频，通过连接血氧仪设备开始训练，根据生理数据控制训练进度，并在训练结束后给出报告；
6-2、支持悬浮式呼吸助手调控呼吸节奏，实时显示心率血氧生理指标结果，有效地帮助训练者在训练过程中调控呼吸，使训练者在压力情境中更好地控制情绪，长期练习更能提高训练者自我调节压力能力的效果。
7、放松训练：提供主题放松和风景想象放松两大类不少于8个放松训练方案；
7.1放松训练包括课堂分心&amp;高效课堂、厌学&amp;热爱学习、考试焦虑&amp;轻松迎考、偏科&amp;打败偏科、风景想象放松训练等，帮助学习者通过多样化的训练方案，达到自主神经系统的平衡与和谐，有效改善偏科、焦虑、分心和厌学等问题。
8、数据中心：包含问卷中心和训练报告；支持查看问卷列表、问卷报告、训练列表、训练记录；
▲8.1、训练报告：有个人信息、训练信息和训练类型，以图表方式展示并提供相应的结果报告建议；
8.2详细记录了训练者参与的训练类型，使用过程中的平均心率、训练时间及训练时长对比，训练时长对比以图表方式直观展示各类生理指标，且用户可对生理指标变化曲线进行自由缩放查看；
8.3、问卷报告：雷达图展示问卷结果，问卷结果提供个性化的参考建议和改进措施；
8.4支持查看个人信息包括姓名、性别、人员类型、部门、支持对每个问题类型下的因子进行深入解读。
9、版本更新：支持系统版本升级，系统可自动远程识别并进行升级。</t>
  </si>
  <si>
    <t>软件+硬件，学习障碍调整与干预</t>
  </si>
  <si>
    <t>沙发+茶几</t>
  </si>
  <si>
    <t>2个单人位，实木框架。布艺沙发，实木框架，采用海绵填充。茶几：圆形玻璃茶几或者木质茶几。</t>
  </si>
  <si>
    <t>录音笔</t>
  </si>
  <si>
    <t>录音用，内存不少于32G</t>
  </si>
  <si>
    <t>无声挂钟</t>
  </si>
  <si>
    <t>控制咨询时间，尺寸: ≥12英寸；机芯：静音机芯；
材质：金属、玻璃</t>
  </si>
  <si>
    <t>心理文化墙装饰画系列二</t>
  </si>
  <si>
    <t>心理文化墙装饰画系列二：
1、心理知识5幅，用于营造心理辅导室氛围
2、材质:结皮PVC板，厚度约5mm，形态：不规则图形
3、每幅规格尺寸：480*480mm。</t>
  </si>
  <si>
    <t>环境布置、文化宣传</t>
  </si>
  <si>
    <t>制度挂图</t>
  </si>
  <si>
    <t>内芯材质: 高清相纸；装裱方式: 黑色铝合金边框，环保透明面板；风格: 简约现代；工艺: 喷绘；风格: 工艺: 喷绘；组合形式: 独立；图片形式: 平面；可免拆边框更换内芯。含框尺寸: ≥440*570mm（±3mm）。（办公接待室管理制度）</t>
  </si>
  <si>
    <t>幅</t>
  </si>
  <si>
    <t xml:space="preserve">
心理观察室13.86平米
（沙盘游戏+音乐放松）</t>
  </si>
  <si>
    <t>心理教师帮助来访者调整情绪、开展个体辅导等工作的场所。心理教师运用心理沙盘、音乐设备等设备达到帮助来访者调整情绪、排查问题和认知调整的目的。</t>
  </si>
  <si>
    <t>实木心理沙盘</t>
  </si>
  <si>
    <t>一、1个个体实木心理沙盘，使用尺寸：≥长 720mm×宽 570mm×深70mm，边框厚度≥15mm，沙盘含架子整体高度≥750mm。专用三底两面环保漆；内侧底与边框、底部为蓝色，外部为实木色，表面光滑不伤手、防水、耐磨不掉色。           
二、2个实木沙具柜，沙具柜规格：≥1500mm×300mm×980mm，柜体采用5层8阶设计，既美观又便于分类摆放选取沙具。
三、1000个沙具（宗教类、风车、灯塔等标志类、公共标识类、交通工具类、公共建筑类、桥栅栏类、日月等自然物类、贝壳山石类、现实中人物类、空想人物类虚拟人物、恐龙怪兽类、家具、日用品类、水生动物、野生动物类、家禽家畜类、草坪类、植物类、军队类）。
四、沙盘游戏书籍1本。
五、精选原色水洗砂10公斤：颗粒光滑、大小均匀、高温消毒。
六、沙具选取框1套 （W：沙具选取框1个，W：清理刷1个）。</t>
  </si>
  <si>
    <t>硬件，问题调整、问题排查</t>
  </si>
  <si>
    <t>智慧心生物反馈训练系统</t>
  </si>
  <si>
    <t>智慧心生物反馈训练系统是一款采用无线蓝牙采集器进行心率和呼吸数据的采集，运用生物反馈和心理调适技术，具有数据监测、训练指导、音乐放松、朗读放松、情景放松、视频放松、测评中心、解决方案、训练中心、呼吸助手、数据报告等功能，是集生理指标监控、压力与情绪评估、身心状态调节、情绪稳定性训练、解决方案指导、心理素质训练功能为一体的专业生物反馈训练系统。
一、硬件参数
尺寸：≥780mm（长）*880mm（宽）*1000mm(高）(椅背收起)
≥1580mm（长）*880mm（宽）*830mm(高）（椅背展开）
产品净重：45KG   最大承载量：100KG；电源：220V（50Hz）
二、产品功能模块介绍：
1、独立电动控制系统：音乐椅靠背、腿部电动控制设计，靠背100度-170度，腿部90度-170度任意调节。 
2、多功能控制器：具有自动及音乐同步两种体感模式，可通过蓝牙的方式输入音频，借助多功能控制面板，可实现对音频、震动、音源、歌曲、座椅姿势随意切换，系统将跟随音乐的节奏变化而变化，从而达到音乐和体感同步效果。通过面板控制加热功能按钮，开启放松椅内的电加热丝进行内部加热，并通过热传递将热量传递给乘坐者，实现加热功能，有效提高天寒时节使用时的舒适感。
3、多功能生理指标采集系统：采用无线蓝牙指脉式生理指标采集，蓝牙频段范围：2402.00-2480.00MHZ，最大输出功率：＜100mW。集成手腕式生物反馈处理器，精确反馈人体多项生理指标，采集终端可直观显示：蓝牙指示灯、蜂鸣器指示灯、血氧饱和度指示灯、脉率指示灯、电量指示灯、血氧饱和度值、脉率值、脉搏强度等。
三、软件参数：
1、放松中心：指导内容包括音乐放松、想象放松、情景放松、图片放松、朗读放松五个内容模块。
1-1音乐放松：包括缓解身心疲劳、解除忧郁、伤感音乐、消除浮躁、消除紧张焦虑、中国风、国外名曲、深度睡眠等7类音乐放松主题。
1-2想象放松：包括高山远眺、草原仰望、海边漫步、湖中泛舟、日出生机、梯田极目、唯美日落、竹林信步等8个风景放松环境及指导语；在大自然的背景中通过悦耳的语音指导语缓缓的进行身心放松训练。
1-3情景放松：包括潮拍海岸、触摸钢琴、猫咪打盹、风吹麦穗、老屋的钟、深度睡眠、清洁耳朵等36种情景声音，来访者可以快速选择适合自己习惯的放松场景进行训练体验。
1-4朗读放松：包括要学会正确的归因、学习到底是什么、什么是真的努力等8个朗读主题，可以让来访者在个人成长、自我认知、沟通技巧、人际关系以及心态管理等多个方面享受着放松愉悦的心灵体验。
1-5图片放松：包括学会倾听、精神、人类的思维、自我人格的认知、学习等不少20个心理格言。
2、测评中心：系统提供不少于50道压力反应量表测试题，系统设置自动跳题功能，可全面评估来访者的生理、情绪、认知、压力、人际等心理健康状况，测评结束后立即生成测评分析报告，报告包括压力的等级，压力的具体表现；为评估训练效果提供依据，评估过程中实时监控训练者各项生理指标，评估结束后出具详细的评估报告。
3、解决方案：包括专注自习、科学考试、矫正分心、纠正偏科、高效课堂等专业的教学视频，通过视频学习调整认知、调节情绪、思维、行为训练等方法，从而降低焦虑所产生的心理问题。
4、训练中心：包括智慧菩提、荷花盛开、四季如画、海阔天空、行云流水、火树银花等至少6款反馈训练游戏，通过采集训练者的生物反馈指标参与游戏训练。训练过程中实时监控训练者心率、血氧等各项生理指标，训练结束后出具详细的训练报告。
4-1：应激训练：系统具有应激训练功能，提供如比赛失败、好友冲突、家庭变故、考试失利、亲子冲突、生病受伤、他律约束、环境改变、被人误会、被人批评等10种应激心理训练情境。
5、数据中心：具有训练数据和训练报告管理功能，来访者可通过筛选条件查看训练结束后的生物反馈指标、训练记录数据、训练时间等，支持导出训练记录结果。 
6、悬浮窗：呼吸助手实施掌握呼吸训练节奏，实现有效放松疏导，设备采集助手时时掌握设备连接状态和电池电量状态。
配置组成：
1、音乐放松椅1张
2、生物反馈训练系统1套
3、生理指标采集器1套
4、可移动式工作台1个
5、软件运行主机1台
6、遮光眼罩2个</t>
  </si>
  <si>
    <t>软件+硬件，情绪放松、放松训练</t>
  </si>
  <si>
    <t>内芯材质: 高清相纸；装裱方式: 黑色铝合金边框，环保透明面板；风格: 简约现代；工艺: 喷绘；风格: 工艺: 喷绘；组合形式: 独立；图片形式: 平面；可免拆边框更换内芯。含框尺寸: ≥440*570mm（±3mm）。（沙盘游戏室管理制度）</t>
  </si>
  <si>
    <t>装修设计</t>
  </si>
  <si>
    <t>面积：根据现场实际情况进行装修
室内装修内容：
  1、墙面处理(腻子粉刮平、环保乳胶墙面处理，调制温馨色彩)
  2、心理辅导室门牌及文化墙
  3、功能室窗帘；
  4、石膏板、方通或者铝扣板吊顶</t>
  </si>
  <si>
    <t>项</t>
  </si>
  <si>
    <t>汝南县刘屯小学卫生保健室设备设施配置清单</t>
  </si>
  <si>
    <t>诊查床</t>
  </si>
  <si>
    <t>1880*680*700mm，床框为60*30mm矩形管，床腿为40*40mm方管，四角有三角板固定，床腿之间有20*20mm方管拉撑，床板为12mm后多层实木板，上罩25mm海绵，人造革。可折叠拆装。</t>
  </si>
  <si>
    <t>诊察桌</t>
  </si>
  <si>
    <t>诊察椅</t>
  </si>
  <si>
    <t>诊察凳</t>
  </si>
  <si>
    <t>液压升降式，凳子面为圆形，上罩海绵，人造革，一次性冲压圆形底座。</t>
  </si>
  <si>
    <t>视力表灯箱（对数灯光视力表）</t>
  </si>
  <si>
    <t>[成人E字】儿童对数视力表，5米测距，光学级透明灯箱片，光学导光板，LED灯，铝合金边框，超薄型，900*300*20mm。</t>
  </si>
  <si>
    <t>远视力表</t>
  </si>
  <si>
    <t>方形套印，调节视力肌肉，缓解近视疲劳。</t>
  </si>
  <si>
    <t>近视力表</t>
  </si>
  <si>
    <t>纸质标准对数视力表，测距5m。</t>
  </si>
  <si>
    <t>身高坐高计</t>
  </si>
  <si>
    <t>身高测量205cm，坐高测量120cm,底座和面板为22mm厚压缩木质板材，立柱为12mm圆钢，测量尺杆为铝合金型材。</t>
  </si>
  <si>
    <t>电子肺活量计</t>
  </si>
  <si>
    <t>电子数显，测量范围1-9999ml，交流电源，配备一次性吹嘴8只。</t>
  </si>
  <si>
    <t>移动消毒灯车</t>
  </si>
  <si>
    <t>移动式带双管 移动式，功率30*2W，可定时，自动断电。灯臂可180°升降旋转，配备30W消毒灯管2根。</t>
  </si>
  <si>
    <t>污物桶</t>
  </si>
  <si>
    <t>不锈钢外筒，塑料内筒，容积12L。脚踏式启闭。φ240mm</t>
  </si>
  <si>
    <t>医用镊子</t>
  </si>
  <si>
    <t>医用镊子，12.5--25cm。一套六把。</t>
  </si>
  <si>
    <t>医用剪刀</t>
  </si>
  <si>
    <t>一套12把，12个常用型号。不锈钢制医用手术剪刀。140mm～180mm</t>
  </si>
  <si>
    <t>止血钳</t>
  </si>
  <si>
    <t>不锈钢制，医用止血钳，16cm。直弯各一。</t>
  </si>
  <si>
    <t>压舌板</t>
  </si>
  <si>
    <t>不锈钢制，长度16cm。每盒20只。</t>
  </si>
  <si>
    <t>只</t>
  </si>
  <si>
    <t>额镜</t>
  </si>
  <si>
    <t>额戴反光镜，直径不低于80mm，五官科检查辅助器械。</t>
  </si>
  <si>
    <t>血压计</t>
  </si>
  <si>
    <t>水银柱式，铝合金外壳。附带成人袖带一套，充气球，水银壶等。</t>
  </si>
  <si>
    <t>听诊器</t>
  </si>
  <si>
    <t>插入式单听。有听头，橡塑导管，耳塞架组成。</t>
  </si>
  <si>
    <t>医用双听，旋扣式</t>
  </si>
  <si>
    <t>叩诊锤</t>
  </si>
  <si>
    <t>不锈钢手柄，手柄上带刻度尺，最大长度27cm，使用最大长度143mm</t>
  </si>
  <si>
    <t>串镜片</t>
  </si>
  <si>
    <t>铝合金盒装，每套6片，每片带镜片5片。总计30片镜片。</t>
  </si>
  <si>
    <t>盒</t>
  </si>
  <si>
    <t>木制底座，底座尺寸150*93*55mm，钢制音叉，512HZ,附带共鸣箱，击打锤。</t>
  </si>
  <si>
    <t>酒精灯</t>
  </si>
  <si>
    <t>玻璃制，容积150mm。</t>
  </si>
  <si>
    <t>冲眼壶</t>
  </si>
  <si>
    <t>不锈钢制，容积100ml。</t>
  </si>
  <si>
    <t>受水器</t>
  </si>
  <si>
    <t>不锈钢受水器。不锈钢板拉伸剪切，接口为无缝激光焊接。</t>
  </si>
  <si>
    <t>异物针</t>
  </si>
  <si>
    <t>不锈钢制，直弯两用。长度不低于160mm。</t>
  </si>
  <si>
    <t>课桌椅测量尺</t>
  </si>
  <si>
    <t>三折木质，长度200CM，最小分度值0.5cm。</t>
  </si>
  <si>
    <t>根</t>
  </si>
  <si>
    <t>测径规</t>
  </si>
  <si>
    <t>不锈钢制，内外径测量。</t>
  </si>
  <si>
    <t>辨色图谱</t>
  </si>
  <si>
    <t>第五版，单色图，双色对比图，示教图，色觉异常图，色弱色盲图，红绿色盲图，轻重色盲图。</t>
  </si>
  <si>
    <t>本</t>
  </si>
  <si>
    <t>担架</t>
  </si>
  <si>
    <t>四折便携式折叠式，2000*550*100mm，金属铝合金管材支架，牛津帆布面料。承重160kg以上。</t>
  </si>
  <si>
    <t>副</t>
  </si>
  <si>
    <t>拐杖</t>
  </si>
  <si>
    <t>铝合金制，九档可调，称重不低于70kg。</t>
  </si>
  <si>
    <t>电子额温枪</t>
  </si>
  <si>
    <t>电子数显，非接触式红外感应快速测量，测量温度33-42°C，工作温度15-40°C</t>
  </si>
  <si>
    <t>体温计</t>
  </si>
  <si>
    <t>医用体温计，水银柱式，测量范围25-42°，三角玻璃棒型。</t>
  </si>
  <si>
    <t>浸泡消毒盒</t>
  </si>
  <si>
    <t>环保PP材料，三色合一，浸泡，干燥消毒一体，配套水银式体温计消毒使用。</t>
  </si>
  <si>
    <t>止血带</t>
  </si>
  <si>
    <t>医用卡扣式</t>
  </si>
  <si>
    <t>口镜</t>
  </si>
  <si>
    <t>医用不锈钢口腔检查器械，口镜头可更换。</t>
  </si>
  <si>
    <t>皮脂厚度计</t>
  </si>
  <si>
    <t>铝合金外盒，指针式显示，测量皮质厚度范围60mm。卡规式测量方式，压力可调。标准加压200g。</t>
  </si>
  <si>
    <t>方盘</t>
  </si>
  <si>
    <t>不锈钢制，300*400*20mm。不带盖，无孔。</t>
  </si>
  <si>
    <t>带盖方盘</t>
  </si>
  <si>
    <t>不锈钢制，240*150*40mm，带盖，无孔。</t>
  </si>
  <si>
    <t>贮槽</t>
  </si>
  <si>
    <t>不锈钢制，直径230mm，有孔，带盖。</t>
  </si>
  <si>
    <t>敷料缸、棉球缸、器械缸</t>
  </si>
  <si>
    <t>不锈钢制，带盖，直径8cm，带盖。直径8cm，高度7.5cm</t>
  </si>
  <si>
    <t>不锈钢制，带盖，直径8cm，带盖。直径8cm，高度8cm</t>
  </si>
  <si>
    <t>不锈钢制，带盖，直径9cm，带盖。直径9cm，高度9cm</t>
  </si>
  <si>
    <t>不锈钢制，带盖，直径10cm，带盖。直径10cm，高度9cm</t>
  </si>
  <si>
    <t>不锈钢制，带盖，直径12cm，带盖。直径12cm，高度11.5cm</t>
  </si>
  <si>
    <t>器械缸</t>
  </si>
  <si>
    <t>不锈钢制，锥形体，带盖。大号。盖子8cm，底10cm，高19.5cm</t>
  </si>
  <si>
    <t>弯盘</t>
  </si>
  <si>
    <t>标配，不锈钢腰型盘，大号</t>
  </si>
  <si>
    <t>少年人体半身模型</t>
  </si>
  <si>
    <t>产品为高约 65mm 之少年男性解剖模型，包括头、颈、躯干部分。</t>
  </si>
  <si>
    <t>件</t>
  </si>
  <si>
    <t>儿童骨骼模型</t>
  </si>
  <si>
    <t>产品为男性儿童骨骼模型，串制成正常直立姿势立于支架上。模型高 65cm；</t>
  </si>
  <si>
    <t>健康教育教学挂图</t>
  </si>
  <si>
    <t>教育部标准</t>
  </si>
  <si>
    <t>卫生室制度挂图</t>
  </si>
  <si>
    <t>一套12张</t>
  </si>
  <si>
    <t>健康知识挂图</t>
  </si>
  <si>
    <t>一套20副</t>
  </si>
  <si>
    <t>眼保健操挂图</t>
  </si>
  <si>
    <t>教学挂图对开铜版纸）</t>
  </si>
  <si>
    <t>柳型夹板</t>
  </si>
  <si>
    <t>木质包纯棉布，一组三块。</t>
  </si>
  <si>
    <t>显微镜</t>
  </si>
  <si>
    <t>放大640X，自然光源，单目显微镜。</t>
  </si>
  <si>
    <t>器械车【仪器车】</t>
  </si>
  <si>
    <t>60cm×40cm×90cm，拆装式，双层隔板，不锈钢材质，四角万向轮，螺栓固定模式。</t>
  </si>
  <si>
    <t>屏风</t>
  </si>
  <si>
    <t>长度2000mm,高度1800mm。全不锈钢骨架结构。屏风面料，环保化纤油画布。完全防水。</t>
  </si>
  <si>
    <t xml:space="preserve">针灸针 </t>
  </si>
  <si>
    <t>银柄，塑管套装每套30只，每盒30套。</t>
  </si>
  <si>
    <t>白大褂</t>
  </si>
  <si>
    <t>白色医士服装，夏装半袖，春秋装长袖各两套</t>
  </si>
  <si>
    <t>卫生箱</t>
  </si>
  <si>
    <t>中号，铝合金边框，铝塑面板，内置隔层，带背带，外形尺寸350*250*200mm。</t>
  </si>
  <si>
    <t>人工呼吸器</t>
  </si>
  <si>
    <t>医用硅胶气囊，压缩充气被动呼吸原理。用于前期急救阶段。</t>
  </si>
  <si>
    <t>喉头喷雾器</t>
  </si>
  <si>
    <t>橡胶气囊，金属喷嘴，枪式结构，扳机气压式喷雾。</t>
  </si>
  <si>
    <t>医用治疗车（器械车）</t>
  </si>
  <si>
    <t>60cm×40cm×86cm，拆装式带抽屉，双层隔板，不锈钢材质，四角万向轮，螺栓固定模式。</t>
  </si>
  <si>
    <t>电动吸痰器</t>
  </si>
  <si>
    <t>低噪音，大流量，高负压，环境温度：-40℃--70℃，重量不超过5kg，体积：28*19.6*28.5cm</t>
  </si>
  <si>
    <t>观察床</t>
  </si>
  <si>
    <t>2000*900*550mm，附带配套床垫，床头为直径30mm圆管，床框为30*60mm矩形管，厚度1.2mm。。床垫为后40mm棕垫。</t>
  </si>
  <si>
    <t>三棱针</t>
  </si>
  <si>
    <t>2.6*65mm，不锈钢，绿色塑料包装手柄，便于使用，一盒100只</t>
  </si>
  <si>
    <t>1.6*65mm，不锈钢，蓝色塑料包装手柄，便于使用，一个100只。</t>
  </si>
  <si>
    <t>医用纱布块</t>
  </si>
  <si>
    <t>灭菌纱布块21*32，6*8*8*8cm，用于伤口外敷，5p*30</t>
  </si>
  <si>
    <t>包</t>
  </si>
  <si>
    <t>笔式手电筒</t>
  </si>
  <si>
    <t>笔式，按压式开关，小巧轻便，白光或者黄光</t>
  </si>
  <si>
    <t>电子血压计</t>
  </si>
  <si>
    <t>电子数显。臂式袖带加压测量，带血压，心率检测。</t>
  </si>
  <si>
    <t>带状检影镜</t>
  </si>
  <si>
    <t>直流电源，眼科检查器械。</t>
  </si>
  <si>
    <t>雾化器</t>
  </si>
  <si>
    <t>医用雾化治疗，可加药物雾化。压缩分子分解原理。噪音低于65db，雾化量可调。气流量不小于8L/min，喷雾速率不小于0.2ml/min</t>
  </si>
  <si>
    <t>神灯</t>
  </si>
  <si>
    <t>落地式，带万向轮，可移动式。灯头可折叠伸缩，远红外发热渗透理疗原理。</t>
  </si>
  <si>
    <t>氧气瓶</t>
  </si>
  <si>
    <t>4L 钢瓶，带扳手，湿化瓶，带塑料外盒</t>
  </si>
  <si>
    <t>一次性医用手套</t>
  </si>
  <si>
    <t>PE,一次性使用，100只/包</t>
  </si>
  <si>
    <t>橡胶检查手套</t>
  </si>
  <si>
    <t>天然橡胶，环氧乙烷灭菌，50副/包</t>
  </si>
  <si>
    <t>一次性医用口罩</t>
  </si>
  <si>
    <t>一次性医用外科口罩， 10只/包</t>
  </si>
  <si>
    <t>酒精免洗手液</t>
  </si>
  <si>
    <t>乙醇含量54%-66%</t>
  </si>
  <si>
    <t>瓶</t>
  </si>
  <si>
    <t>工作帽</t>
  </si>
  <si>
    <t>涤卡面料/涤平</t>
  </si>
  <si>
    <t>弹力绷带</t>
  </si>
  <si>
    <t>自粘型，可手撕，高弹性</t>
  </si>
  <si>
    <t>轴</t>
  </si>
  <si>
    <t>配药注射器</t>
  </si>
  <si>
    <t>一次性无菌配药30ml，75只/盒</t>
  </si>
  <si>
    <t>医疗废物垃圾桶</t>
  </si>
  <si>
    <t>中石化环保材料，30L，脚踏，上翻盖</t>
  </si>
  <si>
    <t>垃圾袋</t>
  </si>
  <si>
    <t>58*70 30升垃圾桶配套，100个/捆</t>
  </si>
  <si>
    <t>捆</t>
  </si>
  <si>
    <t>捆扎带</t>
  </si>
  <si>
    <t>黄色ABS插入式锁扣，用于捆扎垃圾袋，200个/包</t>
  </si>
  <si>
    <t>医疗废物标签</t>
  </si>
  <si>
    <t>5*8CM,1000贴/卷，用于贴在垃圾袋上做标识</t>
  </si>
  <si>
    <t>卷</t>
  </si>
  <si>
    <t>三角巾</t>
  </si>
  <si>
    <t>压缩尺寸9*5*3cm，外包装防水防潮，操作简单，使用方便</t>
  </si>
  <si>
    <t>脱脂棉球</t>
  </si>
  <si>
    <t xml:space="preserve">500g/包  </t>
  </si>
  <si>
    <t>观片灯</t>
  </si>
  <si>
    <t>单联，铝合金外壳，LED灯光</t>
  </si>
  <si>
    <t>五官检查器</t>
  </si>
  <si>
    <t>内含鼻镜，检耳镜，检眼镜，口镜，压舌板，电筒手柄等组成。</t>
  </si>
  <si>
    <t>血氧仪</t>
  </si>
  <si>
    <t>OLED显示，一键测量，小巧轻便，饱和度/脉率，脉搏波形，脉搏柱，自动退出。</t>
  </si>
  <si>
    <t>一次性压舌板</t>
  </si>
  <si>
    <t>木质，100片/包</t>
  </si>
  <si>
    <t>一次性止血带</t>
  </si>
  <si>
    <t>点连式，一盒50条，蓝色</t>
  </si>
  <si>
    <t>PP柜</t>
  </si>
  <si>
    <t>汝南县刘屯小学计算机教室电子设施类配备清单（教室45+1台）</t>
  </si>
  <si>
    <t>云教学服务器</t>
  </si>
  <si>
    <t>1、单台云终端控制器可以同时支持≥200点云终端的连接、管理和配置，以满足学校后期的扩容需求；
2、配置性能不低于Intel第十二代i5的处理器（处理器主频≥2.5GHz），显卡：配置显卡性能不低于Intel UHD 730；
3、内存：内存容量≥16GB；
4、存储：配置SSD容量≥512GB；
5、网口：千兆网口≥1个；
6、为保障所投设备质量优异，可靠性高，要求所投设备平均故障间隔时间（MTBF）≥300000小时；
7、为防止人体触电，要求所投终端产品满足抗电强度要求：
（1）电源初级与地之间施加AC1500V产品无击穿现象；
（2）电源初级与次级之间施加AC3000V产品无击穿现象；
（3）电源初级与机壳之间施加AC3000V产品无击穿现象；
8、所投设备质量优异，具备一定的抗震能力，可保证设备在运输或使用过程中不易受损；
9、为了保证平台联动时的兼容性和可靠性，要求云教学服务器、云终端、教学管理软件、交换机为同一品牌。</t>
  </si>
  <si>
    <t>学生云终端</t>
  </si>
  <si>
    <t>1、为保证云桌面软件系统的兼容效果和稳定运行，所有终端均需采用x86架构，且为国内自主品牌；
2、配置CPU性能不低于Intel第十二代i5八核十二线程处理器，性能核心数量≥4个；内存容量≥8GB；本地存储≥512 GB SSD，配置内存槽位≥2个；配置M.2 SSD槽位≥2个，2.5英寸硬盘位≥1个；
3、为节约桌面空间，终端主体尺寸部分(L*W*H)≤20cm*20cm*5cm；
4、USB接口数量≥8个（其中USB 3.0接口≥4个，USB 2.0接口≥4个），千兆网口≥1个，VGA接口≥1个，HDMI接口≥1个，音频输入输出接口≥1个，支持4段式耳机音频输入及输出；
5、为防止人体触电，要求所投终端产品满足抗电强度要求：
（1）电源初级与地之间施加AC1500V产品无击穿现象；
（2）电源初级与次级之间施加AC3000V产品无击穿现象；
（3）电源初级与机壳之间施加AC3000V产品无击穿现象；
6、为保障所投设备质量优异，可靠性高，要求所投设备平均故障间隔时间（MTBF）≥300000小时；
7、提供平台一键健康检查功能，对超融合系统环境进行全面检查、修复部分常见问题，并能生成相应的体检报告；
8、依据国家标准GB／T33718-2017，设备厂家通过合同履约能力评价认证，提供证书复印件；
9、夏季为雷雨季，常因雷电影响而导致设备损坏，为防止类似情况出现, 要求对所投设备施加电源端口试验电压4KV后，设备不出现故障；
10、为了保证平台联动时的兼容性和可靠性，要求云教学服务器、云终端、教学管理软件、交换机为同一品牌。</t>
  </si>
  <si>
    <t>教师云终端</t>
  </si>
  <si>
    <t>1、为保证云桌面软件系统的兼容效果和稳定运行，所有终端均需采用x86架构，且为国内自主品牌；
2、配置CPU性能不低于Intel第十二代i5十核十六线程处理器，性能核心数量≥6个；内存容量≥8GB，本地存储≥512 GB SSD，配置内存槽位≥2个；配置M.2 SSD槽位≥2个，2.5英寸硬盘位≥1个；
3、为节约桌面空间，终端主体尺寸部分(L*W*H)≤20cm*20cm*5cm；
4、 USB接口数量≥8个（其中USB 3.0接口≥4个，USB 2.0接口≥4个），千兆网口≥1个，VGA接口≥1个，HDMI接口≥1个，音频输入输出接口≥1个，支持4段式耳机音频输入及输出；
5、为防止人体触电，要求所投终端产品满足抗电强度要求：
（1）电源初级与地之间施加AC1500V产品无击穿现象；
（2）电源初级与次级之间施加AC3000V产品无击穿现象；
（3）电源初级与机壳之间施加AC3000V产品无击穿现象；
6、为保障所投设备质量优异，可靠性高，要求所投设备平均故障间隔时间（MTBF）≥300000小时；
7、配置产品健康检查功能，可检查所投产品的CPU、内存、硬盘、风扇、电源、主板、系统的运行状态，输出体检得分，并可以生成相应的体检报告；
8、依据国家标准GB/T39257；
9、 夏季为雷雨季，常因雷电影响而导致设备损坏，为防止类似情况出现, 要求对所投设备施加电源端口试验电压4KV后，设备不出现故障；
10、为了保证平台联动时的兼容性和可靠性，要求云教学服务器、云终端、教学管理软件、交换机为同一品牌。</t>
  </si>
  <si>
    <t>显示器</t>
  </si>
  <si>
    <r>
      <rPr>
        <sz val="9"/>
        <rFont val="宋体"/>
        <charset val="134"/>
      </rPr>
      <t>屏幕尺寸：≥21.5英寸
显示比例：16:9
分辨率：≥1920×1080 
刷新率：≥75Hz
面板类型：VA面板
色深：原生8bit
亮度：≥250 cd/m²
静态对比度：≥3000:1
可视角度（水平/垂直）：≥178°/178°
响应时间：≤5ms
视频输入接口：1×VGA、1×HDMI
电源接口：标准AC电源接口（100–240V交流，50/60Hz自适应）
外观设计：窄边框或主流商务设计，机身黑色为主
底座功能：支持倾斜调节
壁挂支持：支持VESA壁挂（75×75mm）
质保</t>
    </r>
    <r>
      <rPr>
        <sz val="9"/>
        <rFont val="Times New Roman"/>
        <charset val="134"/>
      </rPr>
      <t>​​</t>
    </r>
    <r>
      <rPr>
        <sz val="9"/>
        <rFont val="宋体"/>
        <charset val="134"/>
      </rPr>
      <t xml:space="preserve">：≥3年，提供原厂保修服务
</t>
    </r>
  </si>
  <si>
    <t>鼠键套装</t>
  </si>
  <si>
    <t>1、云桌面有线键鼠套装，内含有线键盘、鼠标、带有品牌logo的鼠标垫。</t>
  </si>
  <si>
    <t>教学管理软件</t>
  </si>
  <si>
    <t>1、提供多种教学模式以应对不同的教学需求，包括信息课模式、考试模式等多种模式；支持自定义场景模式，可根据学校实际教学需求增加设置自定义场景模式；每个模式下提供不同的教学镜像；切换模式时，云终端硬件无需重新启动；
2、通过教学管理软件，无需登录云桌面管理平台，即可一键开启/关闭云终端或服务器；
3、为简化教学，教学管理软件需要提供远程终端编号功能，并与云终端编号一一对应，方便上课前的学生点名等；
4、支持老师将选中的文件分发给指定学生；同时支持学生直接将文件提交给老师，要求传输100M的rar文件，60台传输时间≤55秒；
5、支持老师对单一、部分、全体学生进行锁屏操作，锁屏状态下，学生的机器被锁定，学生无法进行操作，支持教师执行解锁操作； 
6、为保证正常教学使用，在教师机可以实现屏幕广播；学生可以调整老师广播屏幕大小；老师可以选择是否广播声音给学生；
7、为方便教学控制，支持通过教学管理软件实现一键禁止任意学生上网，禁网的同时仍需要支持屏幕广播、屏幕查看等正常教学应用；
8、为方便教师课堂教学时进行快捷操作，支持一键将教学管理软件切换为托盘状态；托盘上应有屏幕广播，发送文件，随堂测试，作业空间，以及禁网、禁USB、锁屏等常用教学功能；针对此功能要求提供具有 CMA或 CNAS认证的第三方权威机构检验报告证明的测试报告证明；
9、支持老师在线打开学生作业，格式至少包括Word、Flash、Excel、PPT、图片；
10、支持老师将学生作业标记为优秀作业，学生可以通过学生端软件查看本年级所有老师标记的优秀作业，并且可以对优秀作业留言点评；
11、分组教学：支持老师对学生进行分组，分组信息可保存；老师可以指定小组组长，组长和老师可以修改组名；支持记录小组总得分与小组内成员对小组的贡献值；同一组内的学生可以相互传送文件；
12、账号灵活管理，支持管理员通过EXCEL导入学生和老师在作业空间的帐号，也可以单独修改、添加、删除帐号；学生、老师需要</t>
  </si>
  <si>
    <t>在登陆作业空间时，需要通过账号登陆，同时学生账号支持密码登陆和无密码登陆方式；
13、随堂测试：为提高教学效率，支持老师通过Web界面录入题库，无需下载office或其他插件、模板；支持在教室内截屏出题，口述出题等快速出题方式；教师可以通过全班答题、抢答等多种方式发起测试；针对此功能要求提供具有 CMA或 CNAS认证的第三方权威机构检验报告证明的测试报告证明；
14、互动游戏：为促进课堂互动效果，提升课堂活跃度，需提供实用课堂互动小游戏；
15、年级一键升级：为简化账号管理维护工作，在每学年满了之后，所有的学生账号能够一键升级到高年级，不需要重新创建学生账号；
16、班级模型自动创建，为简化账号管理维护工作，支持通过签到的方式自动建立班级模型和账号；
17、为避免U-Key丢失和兼容性以及安全性问题，授权方式必须为文件授权方式，而非U-Key授权的方式；
18、微课空间：支持微课的上传、浏览及删除，老师将观看微课任务布置给学生，并可以附加测试试题，学生观看微课后完成答题，老师可以查看学生答题情况，并对答题结果统计分析；
19、要求实配≥70个点授权；
20、教学管理软件必须为自主研发，非OEM 产品；
21、为减小紧急突发事件带来的影响，投标设备制造厂商须具备应急管理能力；
22、为了保证平台联动时的兼容性和可靠性，要求云教学服务器、云终端、教学管理软件、交换机为同一品牌。</t>
  </si>
  <si>
    <t>接入交换机</t>
  </si>
  <si>
    <t>1、交换容量≥330Gbps ，包转发率≥50Mpps（以官网最小值为准），10/100/1000M以太网电口≥24个，100/1000M SFP千兆光接口≥4个；
2、支持IPV4/IPV6静态路由，RIP、RIPng；
3、为保证设备在受到外界机械碰撞时能够正常运行，要求所投交换机IK防护测试级别≥IK05（即IK05、IK06、IK07、IK08、IK09或IK10）；
4、设备厂商管理规范，履约能力强，口碑优秀，受国家工商行政管理总局（或国家市场监督管理总局 ）认可，被评选过为国家级“守合同重信用企业”。</t>
  </si>
  <si>
    <t>学生电脑桌</t>
  </si>
  <si>
    <t>1、台面颜色：红胡桃；
2、规格：桌1400mm×500mm×760mm，主机架420mm×180mm；
3、材质：桌面采用25mm三聚氰胺双面板，主机柜采用16mm三聚氰胺双面板；支架采用≥20mm×20mm×1.2mm方钢管，拉撑采用≥20mm×20mm×1.2mm方钢管；
4、结构：桌下两侧位置设有电脑主机架，可放两台电脑主机，面板两侧各预留一个电源线孔位，两侧有固定螺母，可稳固组合；
5、工艺：板材截面≥1.5mm厚塑制优质封边条机械封边，钢材焊接采用二氧化碳保护焊焊接 ，表面无气泡、焊渣、焊瘤；去油、除锈、磷化、喷塑。</t>
  </si>
  <si>
    <t>学生电脑椅</t>
  </si>
  <si>
    <t>1、规格：354mm（长）×245mm（宽）×440mm（高）,钢木结构；
2、面板颜色：红胡桃；
3、材质：凳面采用聚酯胶一次液压成型多层板，面贴三聚氰胺面，模具成型环保材料一次性注塑封边，凳架采用≥20mm×20mm×1.2mm方管；
4、工艺：钢材焊接采用CO2保护焊方式，凳架立腿与横脚利用管套弧面物理性能，凸凹相扣，完美对接；另加机器手臂满焊连接，巡回复检，保证强度，表层采用去油、除锈、喷塑工艺处理，防止生锈。</t>
  </si>
  <si>
    <t>教师讲台</t>
  </si>
  <si>
    <t>1、整体布局小巧玲珑，桌面为平整桌面，可放置笔记本电脑；尺寸：1.1米*0.7米*1米；
2、讲桌桌面板采用防火板，防火、防尘、防水、耐刮花；讲桌主体采用；≥1.2mm冷轧钢板，其它部分采用≥1.2mm冷轧钢板；扶手为橡木材质；
3、显示器盖板采用翻转式设计，视觉角度可任意调节；
4、钢木结合构造，流线圆弧设计，确保学生安全，耐冲击性强，防盗性能优越；
5、键盘、鼠标采用翻转式结构，节省空间，操作简单方便；
6、键盘盒下方为中控，可放置中央控制器，整体结构紧凑，空间设计合理；
7、桌面右侧为隐藏式抽屉，可放置视频展台，承载重≥12kg；
8、桌体采用标准机柜尺寸设计，所有设备整齐排列；
9、全部的加工件均采用模具成型，先进的工装夹具、配合全自动焊接工艺，保障尺寸精度及各部件一致性；
10、下部箱体单开门设计，可以方便合理放置台式计算机主机、显示器，分体式中控主机、功放机、DVD、卡座、无线话筒等设备。</t>
  </si>
  <si>
    <t>教师电脑椅</t>
  </si>
  <si>
    <t>1、面料：采用优质颐达网布面料，防磨 防污性，颜色可选 ；
2、辅料：采用优于或等于45#高密度、 高弹力定型海绵，可防氧化、防碎，软硬 适中，回弹性良好，不易变形；
3、架子：≥1.4厚钢制喷涂脚架；
4、功能：座板可翻起、靠背逍遥 ；
5、定型棉座包。</t>
  </si>
  <si>
    <t>机柜</t>
  </si>
  <si>
    <t>1、24U尺寸：1200*1100*600.机柜整体采用喷塑处理；
2、颜色：黑色
3、主体框架要求：脱脂、酸洗、磷化、静电喷塑。</t>
  </si>
  <si>
    <t>施工布线</t>
  </si>
  <si>
    <t>1、含线材及施工包含网线敷设，电源线敷设，线槽、水晶头等辅材。</t>
  </si>
  <si>
    <t>网线</t>
  </si>
  <si>
    <t>1、网线305米/箱，国标≥超五类。</t>
  </si>
  <si>
    <t>箱</t>
  </si>
  <si>
    <t>汝南县刘屯小学劳动技术实践室设备设施配置清单</t>
  </si>
  <si>
    <t>基础设备</t>
  </si>
  <si>
    <t>教师操作台</t>
  </si>
  <si>
    <t>1、规格：2400×700×800mm，钢木结构；
2、台面：一体化台面，40mm橡木插接板.无结疤、无裂纹。油漆处理：底层打磨刷底漆，3遍找平点涂处理，表面经过环保漆喷涂，亚光永不退色。 保养处理：经过打蜡特殊处理，防止虫蛀，腐烂，开裂。
3、柜身结构：按照多媒体讲台,设计了电脑主机、显示器等设备的摆放空间，中间部分是讲课演示部分，并设抽屉式结构，抽屉装有教师演示安全电源及控制装置。
4、台身框架：主框架为钢制框架立柱60*40mm厚度1.2mm横梁采用50*25mm钢架厚度1.2mm；钢材框架表面经酸洗、磷化、环氧树脂高温固化处理具有耐腐蚀、耐高温等特点，
5、桌体主板采用E1级16mm防潮三聚氰胺双面贴板，其截面由PVC封边带利用德国进口机械高温热熔胶封边，密封性好，外形美观经久耐用。
滑轨：采用广东“DTC”阻尼三节滑轨。达到国际五金行业标准，使用寿命长。手抽:一字型，表面有光滑防腐涂层。外形美观、经久耐用。组装接缝严密，连接牢固，无松动现象。
6、固定脚：采用ABS工程塑料模具成型制作而成，具有高度可调、耐磨、防潮、耐腐蚀等特点。</t>
  </si>
  <si>
    <t>学生操作台</t>
  </si>
  <si>
    <t>1.规格：2400*1200*780mm。2.台面：一体化台面，40mm橡木插接板.无结疤、无裂纹。油漆处理：底层打磨刷底漆，3遍找平点涂处理，表面经过环保漆喷涂，亚光永不退色。 保养处理：经过打蜡特殊处理，防止虫蛀，腐烂，开裂。
3、柜身结构：桌身双面座位位置带抽屉，和独立工具柜。
4、台身框架：主框架为钢制框架立柱60*40mm厚度1.2mm横梁采用50*25mm钢架厚度1.2mm；钢材框架表面经酸洗、磷化、环氧树脂高温固化处理具有耐腐蚀、耐高温等特点，
5、桌体主板采用E1级16mm防潮三聚氰胺双面贴板，其截面由PVC封边带利用德国进口机械高温热熔胶封边，密封性好，外形美观经久耐用。
滑轨：采用“DTC”阻尼三节滑轨。达到国际五金行业标准，使用寿命长。手抽:一字型，表面有光滑防腐涂层。外形美观、经久耐用。组装接缝严密，连接牢固，无松动现象。
6、固定脚：采用ABS工程塑料模具成型制作而成，具有高度可调、耐磨、防潮、耐腐蚀等特点。
★7、木制件外观、木工要求、理化性能漆膜附着力应符合GB/T 3324-2017《木家具通用技术条件》标准要求且满足以内内容：⑴木制件外观无贯通裂缝，无虫蛀现象，无腐朽材，无树脂囊，外表无节子，无死节、孔洞、夹皮和树脂道、树胶道，无其他材质缺陷；⑵木工要求板件或部件在接触人体或贮物部位无毛刺、刃口或棱角；⑶理化性能漆膜附着力等于或优于1级；
★8、有害物质限量：甲醛释放量应≤0.1mg/L，可溶重金属4项，未检出，符合 GB 18584-2001《室内装饰装修材料木家具中有害物质限量》标准要求；
★9、防霉菌性能：防球毛壳霉，防霉菌等级0级，符合JC/T 2039-2010标准要求；
★10、氨释放量未检出，符合GB/T 36022-2018《木家具中氨释放量试验方法》；
11、以上7-10项标★部分为重要技术指标；</t>
  </si>
  <si>
    <t xml:space="preserve">教师主控电源
</t>
  </si>
  <si>
    <t>552*350*150mm 1、总控台设置电源总开关，内置指示灯显示，交流220V，采用多功能六孔10A带防护插座，并有短路过载保护；2、学生用插座交流220V分四路输出，学生用光源交流220V分四路输出，分别用按钮开关操作，工作时由按钮内置指示灯显示，并有短路过载保护。</t>
  </si>
  <si>
    <t>学生实验电源</t>
  </si>
  <si>
    <t>接收教师送来交流220V/2A，配专用五孔插座。</t>
  </si>
  <si>
    <t>知识展板</t>
  </si>
  <si>
    <t>教室装饰知识展板、UV喷绘，版面由专业设计人员设计，美观实用。内容包含：技术教室等相关知识，尺寸900*600mm。</t>
  </si>
  <si>
    <t>小学劳动课教学挂图</t>
  </si>
  <si>
    <t>对开彩印铜版纸，40幅/套</t>
  </si>
  <si>
    <t>木工、木艺</t>
  </si>
  <si>
    <t>十折木尺</t>
  </si>
  <si>
    <t>木质十折量程2米</t>
  </si>
  <si>
    <t>角尺</t>
  </si>
  <si>
    <t>不锈钢铝座角尺，量程30cm</t>
  </si>
  <si>
    <t>手板锯</t>
  </si>
  <si>
    <t>锋利锯齿，锰钢，塑柄，14寸350mm</t>
  </si>
  <si>
    <t>木工锤</t>
  </si>
  <si>
    <r>
      <rPr>
        <sz val="9"/>
        <color theme="1"/>
        <rFont val="微软雅黑"/>
        <charset val="134"/>
      </rPr>
      <t>高碳钢锤头，木柄，0.25</t>
    </r>
    <r>
      <rPr>
        <sz val="9"/>
        <color theme="1"/>
        <rFont val="宋体"/>
        <charset val="134"/>
      </rPr>
      <t>㎏</t>
    </r>
  </si>
  <si>
    <t>米尺</t>
  </si>
  <si>
    <t>塑壳，高钢尺带，烤漆工艺，量程200mm。</t>
  </si>
  <si>
    <t>木工锯</t>
  </si>
  <si>
    <t>长*宽*厚为36*18.2*2cm实木锯框</t>
  </si>
  <si>
    <t>三角锯锉</t>
  </si>
  <si>
    <t>高碳钢，6寸，细齿双纹</t>
  </si>
  <si>
    <t>实木刨子</t>
  </si>
  <si>
    <t>刨体实木材质长17.5cm宽6cm高4cm手柄长21cm</t>
  </si>
  <si>
    <t>铁刨</t>
  </si>
  <si>
    <t>铁刨，刨体漆面处理，合金钢刃</t>
  </si>
  <si>
    <t>木锉</t>
  </si>
  <si>
    <t>裸柄，尖头扁木锉</t>
  </si>
  <si>
    <t>斧头</t>
  </si>
  <si>
    <t>木工斧头，碳钢，总重约760g，总长度约365mm</t>
  </si>
  <si>
    <t>墨斗</t>
  </si>
  <si>
    <t>长*宽*高为15*6.5*4cm塑壳</t>
  </si>
  <si>
    <t>工具箱</t>
  </si>
  <si>
    <t>塑料工具箱整体尺寸38*20*19cm</t>
  </si>
  <si>
    <t>陶艺及工艺制作</t>
  </si>
  <si>
    <t>泥塑工具</t>
  </si>
  <si>
    <t>1．配置：⑴拍板1件：木质，弧形背板，长×宽×高≥150mm×65mm×15mm；⑵泥塑刀7件：黄杨木材质，长度≥175mm；⑶环型刀3件：木柄又头环型刀长度≥175mm；⑷刮刀2件：环型刀头、三角刀头各1件；⑸型板1件：黄杨木型板；⑹切割线1件：木手柄≥65mm；⑺小转台1件：PVC塑料材质，双面、中间带轴承，直径≥100mm，高度≥30mm；⑻喷壶1件；⑼海绵1块；⑽刮板1件。2．中空吹塑定位包装，所有产品均有单独卡槽定位于箱子内，不得串动，便于携带、存放。
。</t>
  </si>
  <si>
    <t>美工工具</t>
  </si>
  <si>
    <t>美工工具：产品使用盒装。包括剪纸工具、折纸工具、彩泥工具三部分，其中，剪纸工具含：瓦棱纸1包、安全剪刀一个、花边剪刀1个、双面胶一卷、胶带2卷、胶棒1个、胶水1瓶、套尺1套、圆规一个；折纸工具含：彩色卡纸1包、十八色油画棒1套、十二色铅笔、订书机1个、订书钉1盒、回形针1盒、彩色折纸1包；彩泥工具含：超轻粘土24小包、A4无痕垫板1块、镊子2个。</t>
  </si>
  <si>
    <t>旋转台</t>
  </si>
  <si>
    <t>直径18，高度3cm，双面，塑料材质</t>
  </si>
  <si>
    <t>材料（石膏、石蜡、泥土）</t>
  </si>
  <si>
    <t>石膏1包、石蜡1包、泥土2袋</t>
  </si>
  <si>
    <t>种植与养殖</t>
  </si>
  <si>
    <t>种植套装</t>
  </si>
  <si>
    <t>本套装主要由底座、土培种植箱、太阳能板、太阳能充放电IC电路、数字温湿度表、LED补光照明电路、工具套装、种子、肥料、土壤消毒剂等组成。底座为模具注塑成型，规格360mm×160mm×35mm（含脚垫），底脚安装有5个橡胶垫。底座左侧为模具成型电路控制盒，规格150mm×134mm×150mm(顶部），盒内安装相关的控制电路；控制盒斜顶上部安装150mm×85mm的太阳能硅光板。土培种植箱为模具成型，透明塑料注塑而成，规格220mm×130mm×115mm。套装具有自动滴灌功能，利用虹吸和毛细技术，能自动给土壤进行滴灌，省去每天浇灌的烦恼。套装具有温湿度检测装置，将温湿度传感器的一端插在种植盒的土壤里，便可实时检测土壤的温湿度值。套装具有夜间延时补光照明，当电路控制盒内的光敏传感器检测到光照不足，右侧的两颗LED灯便自动点亮，点亮时间由电路自动控制。套装具有太阳能自动充电功能，只要太阳能电池板接受光照，便自动给电路控制盒内的电池进行充电。</t>
  </si>
  <si>
    <t>种子瓶</t>
  </si>
  <si>
    <t>250ml玻璃材质带橡皮塞</t>
  </si>
  <si>
    <t>育种育苗箱</t>
  </si>
  <si>
    <t>3件套，18.5*14.5*105.cm，孔径40*40mm高55mm，防漏槽、12孔栽培托盘、透明保温盖个1，方便观察植物生长，方便管理。</t>
  </si>
  <si>
    <t>种植工具</t>
  </si>
  <si>
    <t>扎绳1件、3M塑壳卷尺1件、树枝剪1件、花园小三件套3件、大铲1件、喷壶1件、两用锄头1件、手工锯1件。采用中空吹塑包装箱包装，工具在箱内定位放置。</t>
  </si>
  <si>
    <t>温度计</t>
  </si>
  <si>
    <t>椭圆形上温度计最高50摄氏度下湿度计最高100ph</t>
  </si>
  <si>
    <t>昆虫捕捉套装</t>
  </si>
  <si>
    <t>昆虫捕捉观察器：1、昆虫观察显微装置：上部观察罩：通过透视窗调整焦距时，把镜筒上下拉动直至影像清晰为止，转动变焦控制圈来调节放大倍数20-30倍；底部：通过底部窗口可以观察昆虫的生活习性，身体构造。净重0.38kg，整体尺寸11.5*11*26cm。2、捕虫网：可伸缩折叠不锈钢把手大网框伸长后全长不小于50cm。3、饲养盒1个，主要材质为亚克力,规格32.5*22.5*14.5cm,饲养主盒体为一次性注塑成型,四面含有通风孔，盖板一头固定一头可灵活开启。透过饲养盒盖板可以清楚地看到饲养盒内的情况，能够清晰地观察到动物的活动和行为。。</t>
  </si>
  <si>
    <t>放大镜</t>
  </si>
  <si>
    <t xml:space="preserve">直径70mm
</t>
  </si>
  <si>
    <t>喷雾器</t>
  </si>
  <si>
    <t>手持压力喷雾器容量0.8L圆筒全高28cm直径11cm铜喷头</t>
  </si>
  <si>
    <t>饲养套装</t>
  </si>
  <si>
    <t>本套装主要由底座、饲养盒、饲养盒盖板、太阳能板、太阳能充放电IC电路、数字温度湿度表、LED补光照明电路、紫外线检测挂件等组成。底座主要材质为亚克力，规格310mm×140mm×183mm；底脚安装有5个橡胶垫。底座左侧电路控制盒，斜顶上部安装有85mm×162mm的太阳能硅光板。饲养主盒体为一次性注塑成型，规格195mm×111mm×105mm；饲养盒盖板为透明亚克力框，内嵌菲涅尔透镜，规格195mm×117mm，透过饲养盒盖板可以清楚地看到放大了的饲养盒内的情况，能够清晰地观察到动物的活动和行为。套装具有温度湿度检测装置，将温度湿度传感器的一端放在饲养盒内的上部空间，便可实时检测饲养盒内的温度湿度值。套装具有LED灯光照明功能，按下电源开关，便可以点亮饲养盒一侧的两颗LED灯，进行补充照明。套装具有太阳能自动充电功能，只要太阳能电池板接受光照，便自动给电路控制盒内的电池进行充电。</t>
  </si>
  <si>
    <t>饲养笼</t>
  </si>
  <si>
    <t>动物笼34*26*31cm带托盘</t>
  </si>
  <si>
    <t>饲养用具</t>
  </si>
  <si>
    <t>自动饮水器1件，毛梳1件，加料器1件，食料碗1件，水碗2件，方盒2件，工具盒1件.</t>
  </si>
  <si>
    <t>防疫用具</t>
  </si>
  <si>
    <t>剪刀1把、止血钳1把、耳号钳1把、镊子1把、投药器1个、滴药瓶2个、注射器1个、针头1盒、软针头1个、连续注射器1把、体温表1个、软管1根、针头1个共14件</t>
  </si>
  <si>
    <t>电子制作与维护</t>
  </si>
  <si>
    <t>元器件盒</t>
  </si>
  <si>
    <t>元器件盒1个，配置：蜂鸣器、三极管、三极管、光耦、发光管、电阻、电容等。</t>
  </si>
  <si>
    <t>电子工具</t>
  </si>
  <si>
    <t>专用包装箱，不少于含21种必备常用工具，工具箱内定点定位，方便使用和管理。工具包括：电工胶布，1卷，5mPVC电工胶布；芝麻柄螺丝批，2把，6*100mmPH2#十字一字各一支；芝麻柄螺丝批，2把，5*75mmPH1#，十字一字各一支；芝麻柄螺丝批，2把，3*75mmPH0#十字一字各一支；钢卷尺，1把，5m*16mm公制塑壳；吸锡器，1个，铝塑吸锡泵；剥线钳，1把，磨齿剥线钳、剥线经0.6-2.6mm；刷子，1把，软毛刷；焊锡丝，1卷，1.0mmFLNX2.0%；小钢锯，1把，配一根锯条；测电笔，1支，氖管；活动扳手，1把，8”；羊角锤，1把，0.25KG钢管柄；钢丝钳，1把，6”；尖嘴钳，1把，6"；斜口钳，1把，6"；数显万用表，1台，DT830B数字；精密螺丝批，6把/套，PH00PH0-3.0-2.0-1.2；电烙铁，1把，220V50Hz30W；美工刀，1把，单发；烙铁架，1付；内六角扳手1套。</t>
  </si>
  <si>
    <t>无线电技术组合实验箱</t>
  </si>
  <si>
    <t>套装试验箱，根据不同的光、电、声等科学原理，制作不同的科学实验效果。可以完成光敏电阻原理、干簧管原理、发光二极管原理、蜂鸣片声控原理、电扇与飞碟的原理、太空大战集成电路原理、蜂鸣片原理、水控原理、音乐集成电路原理、喇叭的原理、电动控制原理、报警集成电路原理、触摸控制原理、 电容器的原理等相关原理的研究。</t>
  </si>
  <si>
    <t>金工设计与制作</t>
  </si>
  <si>
    <t>金工工具</t>
  </si>
  <si>
    <t>不少于配置:4寸螺丝刀，2把，6*100mm+-铬钒钢十字一字各一支:3寸螺丝刀，2把，5*75mm+-铬钒钢十字一字各一支;尖嘴钳，1把，6"黑黄双色塑柄，锻打、热处理工艺;钢丝钳，1把，6"黑黄双色塑柄，锻打、热处理工艺;6寸三角锉，1把150mm黑黄双色塑柄;6寸平板锉，1把150mm黑黄双色塑柄;多用锯，1把，250*90mm，ABS塑料手柄;5件套什锦锉，1套，4*160mm;30cm钢板尺1把;8寸美式套塑铁皮剪1把，锻打、热处理工艺;桌虎钳1台，钢铝合金体，开口宽度30mm，夹持口径20mm，最大边夹厚度约34mm。;8寸活络扳手1把，锻打、热处理工艺:12件套丝锤扳牙扳手定位套装，1套，整体塑盒定位，钳工工具:圆头锤，1把，05磅木质手柄:手电钻，1把，220V50Hz输入功率480W空转转速0-3000rpm钻孔能力10mm，适合加工材料:木材、工程塑料、软金属(铝、铜、铁皮、薄铁板等);工具箱1件，吹塑定位包装。各配件工具尺寸误差不大于±5%。★需提供2023年以后与参数对应的国家级检测报告复印件加盖厂家公章及厂家售后服务承诺函复印件，检测报告带有CMA、CNAS标志，且检验结果符合JY0001-2003《教学仪器设备产品的一般质量要求》，检测报告带二维码或微信公众号真伪查询。</t>
  </si>
  <si>
    <t>划针盘</t>
  </si>
  <si>
    <t>250mm</t>
  </si>
  <si>
    <t>简易平台</t>
  </si>
  <si>
    <t>30*40cm，铸铁平台的工作面为长方形，材料为HT200-300，QT400-600，采用刮研工艺，工作面上可加工V形、T形、U形槽、燕尾槽、圆孔、长孔等</t>
  </si>
  <si>
    <t>台虎钳</t>
  </si>
  <si>
    <t>耐用铸铁钳身；135度全角旋转底座直径11.5cm；加厚三角定位耳；大螺纹省力灵活调节螺杆长25cm；调节轨道宽40mm，边厚8mm，内槽宽21mm；工作台不小于65*70mm；钳口可拆卸为合金钢材质虎口宽≥100mm无毛刺带防滑菱形纹，最大夹持直径10.5cm；底盘厚度不小于1.6cm，整体喷塑处理28*12*15cm；净重6.8kg。外观符合JY0001-2003的有关规定，其他技术要求执行QB/T1558.2标准。</t>
  </si>
  <si>
    <t>台钻</t>
  </si>
  <si>
    <t>参数:220V/50HZ/350W，5级变速600/900/1250/1750/2600转/分，最大钻孔直径1.5-13mm立柱直径46mm主轴最大行程50mm主轴中心线至立柱表面距离103mm主轴端至工作台最大距离220mm主轴端至底座最大距离300mm主轴锥度B16主轴转速范围620-2620rpm工作台面尺寸160×160mm底座尺寸170×280mm总高580mm</t>
  </si>
  <si>
    <t>砂轮机</t>
  </si>
  <si>
    <t>砂轮尺寸￠150*25*￠32安全线速度：35m/s额定电压：220V额定电流：1.7A额定频率50Hz工作制：S230min额定输入功率：370W同步转速2800r/min</t>
  </si>
  <si>
    <t>车床</t>
  </si>
  <si>
    <t xml:space="preserve">主要技术参数Specifiction：
特点：用电子数字液晶显示代替刻度读数，避免了刻度读数困难、视差大、易忘记数值的缺点，清晰手轮式液晶读数显示（液晶读数在手轮位置，不是外接液晶显示器读数）大大方便使用者边加工边读取加工数据，可通过ZERO键在任意滑块位置设置零位及加工起点位置，具有公制/英制一键转换功能，方便使用者的不同习惯，显示精度可达0.01mm，液晶显示屏使用一节1.5V电池供电,机床采用马力更强大的电机，电机功率可达144W，马达箱和主轴箱为联体结构松泰。
1、机床主要零件：如主轴箱，尾座，长机座，大小滑块，马达风叶，齿轮，连接块等零件都采用金属材料，有皮带保护盖。
2、中心高50mm，中心距135mm，一般车削金属时车床转速降到2000转/分钟。
3、车刀是高速钢材质，可加工软、有色、贵金属。
技术指标：
1、马达转速：12000转/分钟(可选配20000转/分钟)。
2、输入电压/电流/功率/：12VDC/5A/60W
3、加工材料最大直径：20mm
4、加工材料长度：135mm
5、Z轴滑块行程：32mm，X轴滑块行程：145mm
6、加工材料：木质塑料,软金属(金、银、铜、铝等)，有机玻璃，塑胶等。
7、Z、X轴具有清晰手轮式液晶读数显示（液晶读数在手轮位置，不是外接液晶显示器读数）大大方便使用者边加工边读取加工数据，增加机床加工工件的精确度
8,电机功率为144W。
9、配备有本车床能使用的四爪卡盘，四爪卡盘可以提高本车床的使用范围，可以使车床能加工一些异形工件，比如四方形，三角形。
10、具有防止车刀撞击卡盘的安全防护装置，大大提高车床使用的安全性
11、包装采用可以回收利用的纸浆模，这样可以在运输过程更好保护产品及响应国家的环保要求不污染环境。
</t>
  </si>
  <si>
    <t>铣床</t>
  </si>
  <si>
    <t xml:space="preserve">主要技术参数Specifiction：
特点：机床采用马力更强大的电机，马达箱和主轴箱为联体结构，用电子数字液晶显示代替刻度读数，避免了刻度读数困难、视差大、易忘记数值的缺点。清晰手轮式液晶读数显示（液晶读数在手轮位置，不是外接液晶显示器读数）大大方便使用者边加工边读取加工数据，可通过ZERO键在任意滑块位置设置零位及加工起点位置。具有公制/英制一键转换功能，方便使用者的不同习惯。具有记忆功能，当停止使用一分钟后会自动断电，当使用者再次按开关键时会自动显示断电时的加工数值。显示精度可达0.01mm，液晶显示屏使用一节1.5V电池供电松泰。
1、铣床用的刀具是铣刀，铣刀的侧面和前面都是刀刃，有一定的危险性，所以一定要在专业人士的指导下使用。
2、机床主要零件：如主轴箱，长机座，短机座、大小滑块，马达风叶，连接块，齿轮等都采用金属材料。
技术指标：
1、马达转速：12000转/分钟(可选配20000转/分钟)；
2、输入电压/电流/功率/：12VDC/5A/60W；
3、Y、Z轴滑块行程：32mm，X轴滑块行程：145mm；
4、Z、Y、X轴具有清晰手轮式液晶读数显示（液晶读数在手轮位置，不是外接液晶显示器读数）避免了刻度读数困难、视差大、易忘记数值的缺点，大大方便使用者边加工边读取加工数据，增加机床加工工件的精确度。
5、虎钳的最大夹持尺寸：50mm；
6、手轮具有0.02mm精度的刻度线，增加机床加工工件的精确度
适用加工：木料，软金属（金、银、铜、铝等），有机玻璃，塑胶等。
7,电机功率为144W。
8、虎钳（虎钳为金属材料）的夹持尺寸：0X50mm,最大夹持是50MM的物体，外形尺寸：80MM*47.5MM*25MM，虎钳上具有模具一次成型的刻度线（刻度线不是贴上去的，是模具一次成型出来的，大大提高使用寿命），方便定位加工；
9、手轮具有0.02mm精度的刻度线，增加机床加工工件的精确度。
10、夹头固定螺母使用的是六角螺母，方便用户固定刀具，提高机床使用的安全性
11、包装采用可以回收利用的纸浆模，这样可以在运输过程更好保护产品及响应国家的环保要求不污染环境。
</t>
  </si>
  <si>
    <t>钻床</t>
  </si>
  <si>
    <t xml:space="preserve">主要技术参数Specifiction：
特点：机床采用马力更强大的电机，马达箱和主轴箱为联体结构，用电子数字液晶显示代替刻度读数，避免了刻度读数困难、视差大、易忘记数值的缺点。清晰手轮式液晶读数显示（液晶读数在手轮位置，不是外接液晶显示器读数）大大方便使用者边加工边读取加工数据，可通过ZERO键在任意滑块位置设置零位及加工起点位置。具有公制/英制一键转换功能，方便使用者的不同习惯。具有记忆功能，当停止使用一分钟后会自动断电，当使用者再次按开关键时会自动显示断电时的加工数值。显示精度可达0.01mm，液晶显示屏使用一节1.5V电池供电。机床主要零件：如主轴箱，长机座，短机座、大小滑块，马达风叶，连接块，钻台面，齿轮等都采用金属材料松泰。
适用加工：木料，软金属（铜，铝等），有机玻璃，塑胶等。
技术指标：
1、马达转速：12000转/分钟(可选配20000转/分钟)，
2、输入电压/电流/功率/：12VDC/5A/60W
3、Y、Z轴滑块行程：32mm，X轴滑块行程：145mm，
4、Z、Y、X轴具有清晰手轮式液晶读数显示（液晶读数在手轮位置，不是外接液晶显示器读数）避免了刻度读数困难、视差大、易忘记数值的缺点，大大方便使用者边加工边读取加工数据，增加机床加工工件的精确度。
5、夹头：1-6mm
6、钻台面尺寸：123~100mm
7、加工材料：木质塑料,软金属(金、银、铜、铝等)
8、手轮具有0.02mm精度的刻度线，增加机床加工工件的精确度
9,电机功率为144W。
10、手轮具有0.02mm精度的刻度线，增加机床加工工件的精确度。
11、钻台板（金属材料）具有刻度定位线（刻度线不是贴上去的，是模具一次成型出来的，大大提高使用寿命），提高加工的精确度。
13、马达箱和齿轮为联体金属材质
14、夹头固定螺母使用的是六角螺母，方便用户固定刀具，提高机床使用的安全性
15、包装采用可以回收利用的纸浆模，这样可以在运输过程更好保护产品及响应国家的环保要求不污染环境。
</t>
  </si>
  <si>
    <t>磨床</t>
  </si>
  <si>
    <t xml:space="preserve">一、产品描述：主要部件：
主轴箱（主轴箱后面有协助紧固孔）及马达箱为金属结构、齿轮、基座侧盖、连接块、砂纸盘、皮带保护盖、砂纸盘（砂纸盘具有8个排气孔，使得砂纸紧贴盘面）、砂轮保护罩等都采用全金属结构，机身无塑料件，主要零件采用电镀工艺，如金属电镀砂轮保护罩、基座侧盖等。
二、技术参数：
1、马达转速：22000转/分钟；
2、输入电压/电流/功率：12V/3A/36W，开关电源的转入电压为100V-240V，50/60Hz
3、电机与主轴箱为金属结构；
4、中心高25mm，砂纸粒度一般为100＃，可根据不同的工件及加工表面要求选择砂纸；
5、工作桌面积：120*100mm；
6、加工材料：木材、工程塑料、软金属(铝、铜等)。
三、产品特点：
1、机床主要零件采用电渡工艺，如金属电镀基座侧盖、金属电镀砂轮保护罩、金属电镀磨台板等，磨台板具有刻度定位线（刻度线为模具一次成型），提高加工的精确度；
2、防止孔内螺丝滑动，连接块使用四方螺母，提高连接块的稳定性和使用寿命；
3、连接块采用燕尾型结构，与机床零件的每个槽位相匹配，提高机床的稳定性和加工精度；
4、具有砂轮机功能，配备金属电镀砂轮保护罩，磨床砂纸盘具有8个排气孔；
5、可以用来抛光、打磨,也可以手持进行各种角度研磨；
6、变压器具有过电流，过压，过热保护。
5、变压器具有过电流，过压，过热保护。
</t>
  </si>
  <si>
    <t>配套材料</t>
  </si>
  <si>
    <t>100x150x3mm铁板1块，30x200x5mm扁铁1根，D12x200mm铁棒1支，D12x200mm黄铜棒1支，D20x200mm尼龙棒1支，D20x200mm铝棒1支，3、4、5mm混装铆钉1袋，24牙12寸钢锯条10支，砂纸2张，38mm油漆刷1把,劳保手套1付,30x40cm擦机布2块。</t>
  </si>
  <si>
    <t>缝纫裁剪与设计</t>
  </si>
  <si>
    <t>缝纫机</t>
  </si>
  <si>
    <t>30线迹缝纫机：输入电压/电流/功率：DC12V2A24W
（变压器通过3C认证）；缝纫速度：直缝380针/分，Z型缝400针/分；30种基本线迹，可调节针迹距离疏密、车直线曲线等，可钉扣、锁扣眼，可简易锁边；缝纫厚度范围：普通牛仔布4-5层，薄牛仔布6层（0.3-0.6mm）；可更换卷边、锁边、滚轮压脚等10多种压脚，拓宽缝纫性能；LCD电子显示屏显示（线迹选择）；自带切线刀、LED灯照明，可倒缝、自动绕线；双线缝纫；双速，快慢可调节；手键或脚踏控制开关；产品尺寸：35.5x16.3x32.5cm；净重：3690g。产品要求：符合GB4706.1-2005《家用和类似用途电器的安全第1部分：通用要求》及GB4706.74-2008《家用和类似用途电器的安全缝纫机的特殊要求》产品要求，通过质量检验</t>
  </si>
  <si>
    <t>锁边机</t>
  </si>
  <si>
    <t>精铸钢材质，带电机，包缝规格3.0-5.0mm，最大厚度3mm，缝线规格：涤纶线40/2.</t>
  </si>
  <si>
    <t>烫衣板</t>
  </si>
  <si>
    <t>可折叠，大板花面</t>
  </si>
  <si>
    <t>熨斗</t>
  </si>
  <si>
    <t>高档大面板，爆炸式蒸汽熨烫，机械五档调温，特氟龙不粘底板，220V，50HZ,1200W,可视水箱容量130ML，25*14*11CM。</t>
  </si>
  <si>
    <t>测量、制图、裁剪工具</t>
  </si>
  <si>
    <t>裁布剪8寸1把，、3号民用剪1把、小剪刀12.2*6.3cm1把，、顶针1枚、竹尺1把、12色针线包1套、胸围尺1条、枣木直头锥子1把、毛绒针扎1个、U型剪1把、木柄描线轮1把、翘头剪1把、划粉1盒、别针1串、图钉1盒、工具箱1个。</t>
  </si>
  <si>
    <t>维修工具</t>
  </si>
  <si>
    <t>6寸尖嘴钳1把、6寸钢丝钳1把，螺丝刀5*100mm3*75mmm+-4种各1只、8寸活扳手1把、5件套内六角扳手1套，铝合金小手电筒1个，电烙铁1个，焊锡丝1个，吹尘器1个，缝纫机油1瓶，6件套螺丝批1套，工具盒1个。</t>
  </si>
  <si>
    <t>烹饪技术</t>
  </si>
  <si>
    <t>炉具</t>
  </si>
  <si>
    <t>电磁炉，额定电压220V额定频率50Hz额定功率2200W产品结构II类</t>
  </si>
  <si>
    <t>锅</t>
  </si>
  <si>
    <t>不粘锅直径≥30±0.5cm塑料手柄长≥14±0.5cm高度≥9±0.5cm</t>
  </si>
  <si>
    <t>炒勺</t>
  </si>
  <si>
    <t>加厚不锈钢材质塑料手柄长≥30±0.5cm宽≥9.5±0.5cm</t>
  </si>
  <si>
    <t>漏勺</t>
  </si>
  <si>
    <t>加厚不锈钢材质塑料手柄长≥32.5±0.5cm宽≥11.5±0.5cm</t>
  </si>
  <si>
    <t>铲子</t>
  </si>
  <si>
    <t>加厚不锈钢材质塑料手柄长≥32±0.5cm宽≥9±0.5cm</t>
  </si>
  <si>
    <t>汤勺</t>
  </si>
  <si>
    <t>加厚不锈钢材质</t>
  </si>
  <si>
    <t>面板</t>
  </si>
  <si>
    <t>竹木带挂环长≥30±0.5cm宽≥22±0.5cm厚≥1.5±0.2cm</t>
  </si>
  <si>
    <t>块</t>
  </si>
  <si>
    <t>菜刀</t>
  </si>
  <si>
    <t>塑料手柄手柄长10±0.5cm刀长17±0.5cm宽7±0.5cm</t>
  </si>
  <si>
    <t>面杖</t>
  </si>
  <si>
    <t>木质圆形长≥24±0.5cm直径≥2.5±0.5cm</t>
  </si>
  <si>
    <t>餐具</t>
  </si>
  <si>
    <t>碗、盘子、碟子、餐勺、餐叉、筷子、汤勺、调料盒、竹饭勺、面盆等</t>
  </si>
  <si>
    <t>多用刀</t>
  </si>
  <si>
    <t>厨房用具，削皮刀长≥20.5±0.5cm宽≥4±0.2cm</t>
  </si>
  <si>
    <t>面盆</t>
  </si>
  <si>
    <t>不锈钢材质，盆口直径不小于45cm</t>
  </si>
  <si>
    <t>手工制作</t>
  </si>
  <si>
    <t>刺绣</t>
  </si>
  <si>
    <t>绣布1块、绣绷1个、刺绣绣针1包、绣线20支（各色）、绣珠5包、线头剪1包、锥子1只、拆线器1只、穿针器1只、绣花剪1把、10色绣花丝线各1、工具盒等</t>
  </si>
  <si>
    <t>毛衣编织工具</t>
  </si>
  <si>
    <t>毛衣针15、13、11号空心各1套、连线环形针1付、毛线三色各1捆，、钢制针盒1盒、13cm直头镊子1只、13cm弯头镊子1只、裁剪竹尺1把、双头钩针1把、1500mm胸围尺1把、剪刀1把、线头剪1把、拆线器1把、穿针器1把、工具箱等</t>
  </si>
  <si>
    <t>手工DIY布艺</t>
  </si>
  <si>
    <t>.巧手工艺坊：20色不织布1套，透明胶水1瓶，剪刀1把，弯直头镊子各1把，10色手缝线各1个，竹制裁剪尺1把，金尾针1套，划粉1盒，顶针1个，卡通纽扣20枚，4色卡通珍珠各1包，珍珠填充棉1袋，龙虾绳扣5条，钥匙扣5个，字母贴1条，蕾丝花边2条，穿线器1个，彩色栓绳1条，拉链2条，工具箱1个。</t>
  </si>
  <si>
    <t>捞纸技术</t>
  </si>
  <si>
    <t>1、产品规格：套装
2、产品特点：套装配件有捞纸框2个，规格20*30cm；干纸浆1包，规格100克；勺子1个，木质精致勺子；相框4个，7寸牛皮纸相框；3色色素，10毫升装；干花草1包，
3、产品性能：体验手工造纸；</t>
  </si>
  <si>
    <t>中国结材料</t>
  </si>
  <si>
    <t>20W胶枪1个，胶棒1根，直头锥子、带钩锥子各1把，直头镊子、弯头镊子各1个，珠针1盒，钩针1把，125mm斜口钳、125mm尖嘴钳、125mm平口钳各1把，打孔器1把，线头剪1个，AB胶1盒，美工刀1把，珠针1盒，穿针引线器1把，顶针1个，垫板1个，3色线材各1包，线穗子4支，工具箱1个。</t>
  </si>
  <si>
    <t>雕刻工具</t>
  </si>
  <si>
    <t>木锉，8寸1把；清扫刷1把；多功能小锤，总长15.5cm锤头5.2cm，附件螺丝刀，1把；砂纸1张；油石1块；尖头镊子1把；石刻刀1把；钢板尺20cm1把；抛光海绵，圆形，1块；雕刻刀，5件套1套；手工小钢锯1把；卷尺1把；划线铅笔1只；金属小刀1把；工具箱1个。</t>
  </si>
  <si>
    <t>手工制作工具</t>
  </si>
  <si>
    <t>配置清单：曲线板1个、有机直尺1把、剪刀1把、尖嘴钳1把、三角板2个、美工刀1把、花边剪1把、绘画铅笔1支、橡皮1块、木刻刀5支、篆刻刀1支、镊子2支、12色彩铅1套、12色水彩笔1套、工具盒1个</t>
  </si>
  <si>
    <t>生活模拟、模拟避险自救</t>
  </si>
  <si>
    <t>日常生活用品</t>
  </si>
  <si>
    <t>日常洗涤、日常洗漱用品</t>
  </si>
  <si>
    <t>日常生活用品、急救仿真人体模型、常用医疗急救药品及器械、安全教育音像资料、图书、其他配套用品等</t>
  </si>
  <si>
    <t>常用医疗急救药品及器械</t>
  </si>
  <si>
    <t xml:space="preserve">工具盒1只，脱脂纱布1包，药棉1包，绷带1卷，40止血带1根，创口贴10片，镊子1把，剪刀1把，酒精1瓶，碘伏1瓶，止血钳1把，缝合针1包，缝合线1捆等等。
</t>
  </si>
  <si>
    <t>安全教育音像资料</t>
  </si>
  <si>
    <t>教育音像光盘</t>
  </si>
  <si>
    <t>安全教育图书</t>
  </si>
  <si>
    <t>劳保用品</t>
  </si>
  <si>
    <t>高级防护镜1付，侧面完全遮挡护目镜镜片由树脂制成，透光率高，强度好，防摔侧面完全遮挡。镜片无波纹、无结瘤、疵点、无划伤等缺陷。且佩戴舒适；挂胶手套1付，橡胶防水手套1付，皮质防水套袖1付，高级化纤材质耐磨耐脏易洗涤围裙1条。</t>
  </si>
  <si>
    <t>储藏柜</t>
  </si>
  <si>
    <t>汝南县刘屯小学书法美术教室设备设施配置清单</t>
  </si>
  <si>
    <t>数字书法教学软件</t>
  </si>
  <si>
    <t xml:space="preserve">书法教学仪:
1. ★书法教学仪具备高清书写示范及碑帖展示功能：全景式书写示范功能，500万像素视频摄像头，教师书写示范过程流畅，采集展示在3K分辨率下可达到15帧/秒。展台具备中心十字激光定位功能。
大幅面碑帖展示，超大幅面的拍摄范围，自动对焦功能，可完整清晰展示A3及以上幅面的书法碑帖。
一体化的书法教学设备，即插即用，可与电子白板、教学一体机等设备无缝链接，大屏展示更清晰。
提供了笔、板擦、冻结、对比、快照等教学功能，方便教学点评。
具有灯光、聚焦、放大和缩小等控制功能。 
2.书法教学仪通过USB线连接任意一个班的电子白板或教学一体机上实现书法教师移动教学需要。
3.硬件参数：
像    素：500万（2592X1944）
感光元件：1/2.5高清CMOS感光镜头
拍摄幅面：≧A3
接口类型：USB2.0
工作电压：5V弱电环保无辐射配套DC电源设计
最大电流：&lt;1000mA
待机电流：&lt;50mA
工作温度：-10-40度。
视频输出：MJPG、YUY2
速    率：1080P模式30fps/s
最低照度：1Lux 推荐照度：50-80Lux 
光    圈：F 5.8MM F/      
闪烁控制：50HZ或60HZ。
光    源：按键控制式LED灯 
对焦方式：MF手动对焦
图片格式：JPG、BMP、TIF、PNG、GIF
文档输出：PDF、DOC、RTF、TIF
颜色输出：彩色、灰度、黑白
产品尺寸：506mm x 480mm x 170mm（工作）
433mm x 370mm x 170mm（收缩）
170mm x 52mm x170mm （底座）
书法授课系统:
"1 书法课件具有在电子白板和教学一体机上示范书写功能和汉字讲解、笔画提取、笔画分解、示范动画、示范视频等教学演示功能。
2 智能书法笔方便书法教师在电子白板、教学一体机等教学设备上进行颜、柳、欧、赵、褚等五种书体软笔、硬笔书写示范。
3 实现了单字到碑帖、碑帖到单字的无缝转换，并具有碑帖到赏析的功能。
4 拥有一键提取与调用碑帖字集单字汉字笔画、笔画分解、示范动画、示范视频等演示功能。
5 具有针对学生书写例字和原笔帖原字对比评价，直观显现二者区别多少，方便老师讲评和学生自主评价。
6 满足书法教学的全景书写示范需求。
7 具有笔、板擦、冻结、对比、快照等教学功能，方便教师点评学生写字课作业。
8 书法教学仪内置的该软件"
书法备课系统:
"1、★具备硬笔笔顺评测，系统自动评判笔画笔顺对错并用不同颜色及数字标注错误笔画笔顺。
2、★针对硬笔的书写结果进行书写检测并给出正确与错误。
3、★系统针对书写结果为正确的具备打分功能。
4、★针对硬笔的书写过程，可回放书写笔迹动画，方便纠错。"
书法碑帖平台:
"1、书法教学仪内置的与书法教材配套的课件使用的范字书写视频资源，都是高清品质。范字书写视频画面由碑帖原字展示、书写要点文字提示、背景音乐、范字书写等4个部分组成
2、 教育部《中小学书法教育指导纲要》推荐的楷书高清临摹范本碑帖：颜真卿《颜勤礼碑》、《多宝塔碑》、柳公权《玄秘塔碑》《神策军碑》、欧阳询《九成宫醴泉铭》《化度寺碑》、赵孟頫《三门记》《妙严寺记》、褚遂良《雁塔圣教序》《大字阴符经》。所有碑帖均具有单字提取功能，所有单字配备笔画分解、示范动画、示范视频等教学资源。
3、《中小学书法教育指导纲要》推荐的王羲之《兰亭序》、颜真卿《祭侄文稿》、苏轼《黄州寒食诗帖》、赵孟頫《洛神赋》4个行书和《乙瑛碑》、《礼器碑》、《史晨碑》、《曹全碑》4个隶书高清临摹范本碑帖。
4、★碑帖及碑帖单字具备在原帖上一键转换四种摹写教学方式：原字摹写、原帖摹写、单钩摹写、双钩摹写。
5、★碑帖单字支持一键提取当前笔画、全部笔画。所提取的笔画都能够在原帖上进行示范动画演示。
6、★碑帖单字支持一键提取单钩、双钩、笔势、笔画笔势，提取的内容在当前教学页面直接呈现。
7、《中小学书法教育指导纲要》推荐的《石门颂》、《西狭颂》、《张迁碑》、王羲之《得示帖》、王献之《中秋帖》、王珣《伯远帖》、孙过庭《书谱》、智永《真草千字文》、怀素《自叙帖》、米芾《蜀素帖》等高清碑帖赏析。
8、系统配备了近100幅篆、隶、草、楷、行等历代书法名家的高清碑帖赏析。方便老师和学生欣赏学习。"
书法字库平台:
"1、具备《2015年义务教育书法教学用书目录》中配套的全部书法课本课件。
2、具备遵循GB2312-80与GB12345-1990编码标准的8953个颜体楷书字，字库中每个单字都具有名家书写示范视频，多角度清晰呈现书写过程。
3、具备随堂练习课件：课堂练习课件具备与11家出版社的书法课本教材同步，排版内容按照“原字、双钩、单钩、空格”形式体现。方便教师利用打印机直接打印发放给学生练习。
4、软笔基础课件：配备按基本笔画、偏旁部首、结字的基本原理及古人论书等内容系统化编写的颜体与欧体软笔楷书基础课件。
5、硬笔基础课件：配备按基本笔画、笔顺规则、间架结构、永字八法、结构分析、汉字演变、偏旁部首等内容编写的硬笔楷书基础课件。
6、提供百篇以上名家简史、书法简史、书法故事等书法知识课件。
7、提供笔势线、轮廓线、序号线、米字格、田字格等几十个书法教学专用图形，以及数百个常用图形；提供色彩、字体多样化的标题字输入框以及可添加拼音、设置多种书体的常用写字格文本框。"
</t>
  </si>
  <si>
    <t>书法桌</t>
  </si>
  <si>
    <t>1、规格;1800mm×800mm×800mm； 2、材质：桌面采用 18mm 厚橡木板 四周加厚至 36mm；桌腿采用榆木，桌腿截面43mm*63mm；横梁23mm*43mm，桌子两侧仿古雕花，采用 12mm 厚橡木板制作。 榫卯结构，结实牢靠。采用环保油漆，三底两面工艺制作而成。仿古造型。</t>
  </si>
  <si>
    <t>书法凳</t>
  </si>
  <si>
    <t>同书画桌搭配使用，官帽椅，高度450mm，采用榫卯结构，结实牢靠。该书法椅简洁大方，纹理通达清晰，外观鲜明光亮，仿古色。</t>
  </si>
  <si>
    <t>桌</t>
  </si>
  <si>
    <t>1：课桌整体规格：450mm×650mm×（670-760）mm,钢塑结构、可升降（高度不超过760mm,共4档）,单人课桌。
2：课桌桌面规格的要求及附属设置：规格：450mm×650mm,桌面材质为优质工程塑料，采用先进的注塑一次成型技术，中间有笔槽。桌面采用人体工学原理，流线型内弧设计，但不增加占地面积，三边为直边，与胸口相交处为鸭嘴边。桌面颜色为蓝色。桌面与桌架采用高强度圆头螺栓连接。
3：课桌桌斗规格：容积450mm×300mm×150mm。采用厚度≥0.5mm的钢板一次冲压成型，边沿卷有圆形加强筋，上沿宽度≥20mm，桌斗下增设≥20mm×20mm×1.2mm的钢管作为下撑，两端焊接固定。
4：课桌桌架：桌腿立柱管采用≥60mm×30mm×1.2mm的椭圆钢管。升降管采用≥20mm×50mm×1.2mm的椭圆钢管，桌脚采用≥30mm×60mm×1.2mm的椭圆钢管.桌撑与立管间采用焊接固定，升降管采用拉伸攻丝螺母连接，各焊接处光滑平整无虚焊现象。
5：课桌升降：升降接口采用内塞式全新PE工程塑料一次注塑成型封头，接口结合紧密，无摇晃。采用高强度圆头螺栓连接。
6：课桌脚套：采用全新PE工程塑料一次注塑成型，采用自攻丝固定，牢固耐磨。
7：课桌工艺：钢材采用CO₂保护焊焊接，表层采用酸洗、磷化、喷塑工艺处理，防止生锈，各焊接处光滑平整无突出。
8：课桌外观：钢材表面涂层均匀牢固，无流挂、气泡等缺陷。塑料件表面平整、色彩均匀、有光泽。整体着色采用亮色搭配，美观大方，符合青少年身心发展特点。塑料件颜色一致无色差。桌架内侧无螺丝外露，防止挂蹭。</t>
  </si>
  <si>
    <t>椅</t>
  </si>
  <si>
    <t>9：课椅整体规格：椅背434*338mm、椅座425*360mm 塑钢结构、可升降、单人课椅座(高不超过440mm，共4档)。
10：课椅椅面：椅背434*338mm、椅座425*360mm 材质为优质工程pp经大型设备加工一次注塑成型。面板与椅架采用高强度圆头螺栓连接。
11：课椅椅架：椅腿立柱外管采用≥60mm×30mm×1.2mm的椭圆钢管。升降管内管采用≥20mm×50mm×1.2mm的椭圆钢管，椅地脚管采用≥30mm×60mm×1.2mm的椭圆钢管。横撑与立管连接处焊接固定。升降管采用拉伸攻丝螺母连接。 各焊接处光滑平整无虚焊现象。
12：课椅背管：背管采用≥20mm×40mm×1.2mm的椭圆。折弯成型。
13：课椅升降：升降接口采用内塞式全新PE工程塑料一次注塑成型封头，接口结合紧密，无摇晃。采用高强度圆头螺栓连接。
14：课椅脚套：采用全新PE工程塑料一次注塑成型，采用自攻丝固定，牢固耐磨。
15：课椅工艺：钢材采用CO₂保护焊焊接，表层采用酸洗、磷化、喷塑工艺处理，防止生锈。
16：课椅外观：钢材表面涂层均匀牢固，无流挂、气泡等缺陷。塑料件表面平整、色彩均匀、光泽。整体着色采用亮色搭配，美观大方，符合青少年身心发展特点。塑料件颜色一致无色差。椅架内侧无螺丝外露，防止挂蹭。</t>
  </si>
  <si>
    <t>毛笔</t>
  </si>
  <si>
    <t>大兰竹、中兰竹、小兰竹，狼毫大楷、中楷、小楷，大白云、中白云、小白云。</t>
  </si>
  <si>
    <t>笔洗</t>
  </si>
  <si>
    <t>规格：直径150mm，高50mm。陶瓷材质，中开片，颜色绿白黄，做工精致、装饰简洁、外壁上有花纹图案。</t>
  </si>
  <si>
    <t>笔架</t>
  </si>
  <si>
    <t>外形：仿古式。主材：优质干燥鸡翅木龙头笔挂。表面不应有明显的擦伤、划痕和碰撞的坑疤。无霉变、虫眼、死节、无明显变形。底长370mm、底宽135mm、高475mm。可同时悬挂14支毛笔。</t>
  </si>
  <si>
    <t>笔搁</t>
  </si>
  <si>
    <t>鸡翅木五头笔山，长度约100mm</t>
  </si>
  <si>
    <t>笔筒</t>
  </si>
  <si>
    <t>规格：直径95mm，高100mm。陶瓷材质，中开片，颜色绿白黄，做工精致、装饰简洁、外壁上有花纹图案。</t>
  </si>
  <si>
    <t>笔帘</t>
  </si>
  <si>
    <t>竹制， 350mm*400mm。</t>
  </si>
  <si>
    <t>墨</t>
  </si>
  <si>
    <t>500ml墨汁。</t>
  </si>
  <si>
    <t>砚台</t>
  </si>
  <si>
    <t>规格：6寸。 罗纹石材质仿古竹字砚制作成椭圆形，选用石材雕刻，图案细腻、做工精致、带盖。</t>
  </si>
  <si>
    <t>方</t>
  </si>
  <si>
    <t>镇尺</t>
  </si>
  <si>
    <t>规格：250mm×40mm×25mm黑梓木材质，一对净重0.6kg，镇尺正面雕刻有精美图案。</t>
  </si>
  <si>
    <t>书画毡（教师）</t>
  </si>
  <si>
    <t>规格1000mm*2000mm，优质羊毛、纤维混纺材质。</t>
  </si>
  <si>
    <t>规格：直径150mm，高50mm。仿青花瓷材质。</t>
  </si>
  <si>
    <t>外形：仿古式。主材：优质干燥鸡翅木龙头笔挂。表面不应有明显的擦伤、划痕和碰撞的坑疤。无霉变、虫眼、死节、无明显变形。底长345mm、底宽10m、高320mm。可同时悬挂12支毛笔。</t>
  </si>
  <si>
    <t>规格：直径95mm，高100mm。仿青花瓷材质。</t>
  </si>
  <si>
    <t>竹制， 350mm*330mm。</t>
  </si>
  <si>
    <t>墨水</t>
  </si>
  <si>
    <t>250g，精装墨水。</t>
  </si>
  <si>
    <t>规格：4寸。 罗纹石材质制作成圆形，选用石材雕刻，图案细腻、做工精致、带盖。</t>
  </si>
  <si>
    <t>规格：250mm×40mm×25mm黑梓木材质，镇尺正面雕刻有精美图案。</t>
  </si>
  <si>
    <t>付</t>
  </si>
  <si>
    <t xml:space="preserve">画毡（学生） </t>
  </si>
  <si>
    <t xml:space="preserve">规格不小于1600mm*600mm，优质羊毛、纤维混纺材质。 </t>
  </si>
  <si>
    <t>毛边纸</t>
  </si>
  <si>
    <t>蔡伦米格，尺寸：420mm*720mm，每刀70张。</t>
  </si>
  <si>
    <t>刀</t>
  </si>
  <si>
    <t>生宣</t>
  </si>
  <si>
    <t>四尺净皮， 尺寸1380mm*700mm。</t>
  </si>
  <si>
    <t>熟宣</t>
  </si>
  <si>
    <t>四尺云母， 尺寸1380mm*700mm。</t>
  </si>
  <si>
    <t>书籍</t>
  </si>
  <si>
    <t>四大名家临摹贴</t>
  </si>
  <si>
    <t>画轴式水写布</t>
  </si>
  <si>
    <t>内尺寸700mm*400mm。</t>
  </si>
  <si>
    <t>宣纸</t>
  </si>
  <si>
    <t>散金宣五彩</t>
  </si>
  <si>
    <t>瓦当宣五彩</t>
  </si>
  <si>
    <t>调色盘</t>
  </si>
  <si>
    <t>规格：直径不小于170mm，高不低于18mm，7格梅花形，材质为透明丙料。</t>
  </si>
  <si>
    <t>中国画颜料</t>
  </si>
  <si>
    <t>24色，单支容量12ml。</t>
  </si>
  <si>
    <t>篆刻刀</t>
  </si>
  <si>
    <t>钨钢材质，3支为一套</t>
  </si>
  <si>
    <t>印床</t>
  </si>
  <si>
    <t>优质实木，清漆处理，长*宽*高：（95mm*65mm*43mm）±1mm。</t>
  </si>
  <si>
    <t>印章石</t>
  </si>
  <si>
    <t>青田石，规格不小于25mm*25mm*40mm。</t>
  </si>
  <si>
    <t>印泥</t>
  </si>
  <si>
    <t>大，30g，带青花瓷印泥盒</t>
  </si>
  <si>
    <t>小，30g，带青花瓷印泥盒</t>
  </si>
  <si>
    <t>桌面画架</t>
  </si>
  <si>
    <t xml:space="preserve">一、适用范围：适用于小学、初中美术教学使用。二、技术要求：1．规格：整体尺寸28*32*82（112）cm。2．材质：优质榉木。3．整体板面平整、表面光滑、洁净、无毛刺、无开裂、无异味，最大夹画62cm。
4、有害物质：甲醛释放量应≤0.1mg/L，可溶重金属4项，未检出；
5、氨释放，未检出;
</t>
  </si>
  <si>
    <t>写生画板</t>
  </si>
  <si>
    <t>技术要求：1．规格：2#图板，外观尺寸不小于450mm×600mm×18mm。2．材质：双面椴木三合板，实木边框，边框宽≥10mm,45度割角拼接。．整体板面平整、表面光滑、洁净、无毛刺、无开裂、板面无疤痕，无挖补，无异味，对角线平面误差不大于2mm，边直角误差不大于2mm。</t>
  </si>
  <si>
    <t>素描套装</t>
  </si>
  <si>
    <t>一、适用范围：适用于小学、初中美术教学使用。
二、技术要求：
1.配置：
⑴36孔笔帘1个：帆布材质，尺寸460*200mm。 
⑵专用铅笔23支：马利牌2H、HB、2B、3B、4B、5B、6B、7B、8B、12B、炭笔中软硬各1支。
⑶美工刀1把：塑料刀身，刀柄长135mm，刃长80mm。
⑷延长器1个：黑色杆，双头金属接头，长度125mm。
⑸可塑橡皮1块：尺寸 40*35*10mm。
⑹绘画橡皮1块：4B,尺寸40*26*16mm。
⑺纸擦笔1套：粗中细三支装，双头，长度及直径：14.5*1.1cm，12.5*0.8cm，12*0.5cm 。
2.塑料盒包装，便于携带、存放。应符合JY0001-2003的有关规定。</t>
  </si>
  <si>
    <t>素描纸</t>
  </si>
  <si>
    <t>一、适用范围：适用于小学、初中美术教学使用。
二、技术要求：
1．尺寸：8K长37.5m，宽26cm，厚度不低于160g。
2．材质：素描纸
3．颜色：黄白色。
4．要求：20张/袋</t>
  </si>
  <si>
    <t>袋</t>
  </si>
  <si>
    <t>速写本</t>
  </si>
  <si>
    <t>一、适用范围：适用于小学、初中美术教学使用。
二、技术要求：
1．尺寸：8K  26.2*37.8cm，厚度不低于100g。
2．材质：素描纸
3．颜色：黄白色。
4．要求：32页/本</t>
  </si>
  <si>
    <t>水彩画笔</t>
  </si>
  <si>
    <t>一、适用范围：适用于小学、初中美术教学使用。
二、技术要求：
1.尺寸：工具箱长宽高不小于345*90*38mm，水彩画笔：1-12号各一只，单支长度不小于285mm，出峰不小于12mm。
2.材质：笔杆采用原木，表面光滑、平整无毛刺、并使用环保漆处理、色泽鲜艳、均匀。笔头选用狼毫制成，绘画时笔触干脆有力，弹力十足，涂画精致。
3.要求：笔杆连接处用铝管镶嵌。画笔装置于工具箱中，工具箱采用医用PP材质，透明光亮。</t>
  </si>
  <si>
    <t>水彩纸</t>
  </si>
  <si>
    <t>一、适用范围：适用于小学、初中美术教学使用。
二、技术要求：
1．尺寸：8K长37.5m，宽26cm，厚度不低于190g。
2．材质：水彩纸
3．要求：10张/袋</t>
  </si>
  <si>
    <t>水彩颜料</t>
  </si>
  <si>
    <t>24色套装,单支容量为12ml。（白色、柠檬黄、藤黄、淡黄、土黄、桔黄、朱红、大红、玫瑰红、深红、紫罗兰、赭石、熟褐、生褐、浅绿、草绿、深绿、酞青绿、湖蓝、钴蓝、群青、青莲、普蓝、煤黑）</t>
  </si>
  <si>
    <t>水粉笔</t>
  </si>
  <si>
    <t>一、适用范围：适用于小学、初中美术教学使用。
二、技术要求：
1.尺寸：工具箱长宽高不小于345*90*38mm，水粉画笔：1-12号各一只，单支长度不小于278mm，出峰不小于12mm。
2.材质：笔杆采用原木，表面光滑、平整无毛刺、并使用清漆处理、色泽鲜艳、均匀。笔头采用狼毫制成，绘画时笔触干脆有力，弹力十足，涂画精致。
3.要求：笔杆连接处用铝管镶嵌。画笔装置于工具箱中，工具箱采用医用PP材质，透明光亮。</t>
  </si>
  <si>
    <t>水粉纸</t>
  </si>
  <si>
    <t>一、适用范围：适用于小学、初中美术教学使用。
二、技术要求：
1．尺寸：8K：8K长37.5m，宽26cm，厚度不低于160g。
2．材质：水粉纸
3．要求：20张/袋</t>
  </si>
  <si>
    <t>水粉画颜料</t>
  </si>
  <si>
    <t>24色套装,单支容量为12ml。（白色、钛白、柠檬黄、中黄、士黄、桔黄、桔红、朱红、玫瑰红、大红、深红、赭石、熟褐、紫罗兰、淡绿、中绿、草绿、翠绿、深绿、湖蓝、钴蓝、群青、普蓝、煤黑）</t>
  </si>
  <si>
    <t>绘画创作配套工具箱</t>
  </si>
  <si>
    <t>一、适用范围：适用于小学、初中美术教学使用。
二、技术要求：
1.配置：
⑴塑料创作夹1个：尺寸：235*100*55mm，材质：塑料+不锈钢材质，4个活动关节，双头夹持，其中一端带有2个磨铅器尺寸55*25mm。
⑵不锈钢夹子1个：尺寸：不小于145mm，材质：不锈钢材质。
⑶调色盘1个：尺寸：17*17cm，材质：仿瓷透明塑料，7格。
⑷调色盒1个：尺寸：21.5*10.5*2.2cm，材质：白色塑料盒体，深色橡胶软盖，24格。
⑸洗笔筒1个：尺寸：14*12cm，材质：彩色塑料皮革，黑色提手。
⑹吸水棉1块：尺寸：17*6.5*3cm，材质：海绵材质，多色可选。
⑺油画刀1把：尺寸：木柄长度10cm，刀头长度4cm，整体长度16cm，材质：木柄，金属刀头，尖头。
⑻小胶带2卷：宽度5mm。
⑼喷壶1个：容量100ml，高度14.5cm，材质：透明塑料。
⑽定画液1瓶：容量45ml，水性定画液，画面一次定型，也可以反复喷盖，以用作画面再创作使用，原材料采用高分子合成物，耐变黄，味道清新悠长。
⑾抹布1条：尺寸25*24.5cm，绘画超吸水毛巾抹布，不掉毛加厚。
2.塑料盒包装，便于携带、存放。应符合JY0001-2003的有关规定。</t>
  </si>
  <si>
    <t>调色板</t>
  </si>
  <si>
    <t>一、适用范围：适用于小学、初中美术教学使用。
二、技术要求：
1.尺寸：300*208*17mm。
2.材质：PP材质。
3.颜色：乳白色。
4.要求：椭圆型，17个格，带手握，做工精细，加厚材料，坚固耐用，多格设计，防止混色易清洗，适用于各种绘画调色。</t>
  </si>
  <si>
    <t>围裙</t>
  </si>
  <si>
    <t>一、适用范围：适用于小学、初中美术教学使用。
二、技术要求：
1.尺寸：560*740mm。
2.材质：防水涤棉厚珠帆。
3.颜色：咖色、蓝色、黑色三色可选。
4.配件：金属镀铜五金件拉扣，背带粗帆布2根尺寸不小于1500*20mm。
5.要求：口袋上方带有插笔皮扣，2个大工具口袋，2个小工具口袋，装饰镀铜金属扣封口定位，背带连接处皮革扣设计，款式新颖美观大方。</t>
  </si>
  <si>
    <t>名家书法字画卷轴</t>
  </si>
  <si>
    <t>毛笔手写，卷轴装裱，尺寸：160*60cm左右。</t>
  </si>
  <si>
    <t>汝南县刘屯小学体质测试室设备设施配置清单</t>
  </si>
  <si>
    <t>身高体重测试仪</t>
  </si>
  <si>
    <t>单机:
1.直接测量人体的身高体重，反映被测者身体匀称度和发育形态指数（BMI）；
2.身高测试触头可折叠，体重底座一体化。
3.测试仪采用≥3.5寸液晶显示屏显示测试值（同屏显示身高体重数值及BMI指数），界面美观，操作简单。
4.测试仪具有同步语音播报身高、体重测试数值功能，可设置开启或关闭。
主机:
1.采用原生Android12及以上系统，能够安装APK程序以拓展使用功能及产品升级，屏幕采用≥10.1寸800*1280高清触摸电容屏；主机≥2GB以上运行内存，≥32GB FLASH存储空间；
2.主机支持5.0蓝牙；标配4G全网通网络，无线网卡支持802.11a/b/g/n/ac无线协议，内置SIM卡槽、TF卡槽、USB type-c充电接口1个。
3.主机具有多种身份识别方式：支持前后二维码识别摄像头（前置摄像头500万像素+后置摄像头800万像素），能自动识别测试者二维码身份信息；标配内置双目人脸摄像头识别系统，能自动捕捉识别测试者人脸身份信息，防止替考作弊；也可通过触摸屏手工录入ID号。
4.主机支持蓝牙打印机
5.主机菜单具备单项查询，集体查询，分组查询，具有年级班级组别日期等多种筛选数据方式，查询便捷。
6.主机支持云平台同步国标和自定义评分标准，主机内嵌国标可以根据年级性别项目进行实时评分，适用于体测；也可以自定义导入评分标准对测试结果进行评分，适用于考试。
7.测试前，主机通过云平台从网络同步学生头像。
8.主机查询结果能一屏同时显示测试学校、年级、班级、学生姓名、性别、测试成绩、测试日期及时间，方便后期督查。主机具有日志管理，记录操作人员在主机上的所有操作，便于异常情况的追溯。
9.主机具有数据备份和恢复功能，可以备份任意时间段体测程序里面的所有数据，可以备份多次保存在存储芯片里面。支持一键恢复，根据日期选择要恢复的备份，自动恢复测试数据。
10.主机能实时显示单机状态：实时监控单机电量、信号强度、测试状态、版本号和单机唯一识别码。
11.主机能设置单机参数：设置单机编号、单机测试参数（不同项目参数不同），支持单机集成空中升级，更新程序更加灵活方便。
12.主机与外设采用无线连接；内置高容量锂电池，连续工作 6小时以上。
13.测试主机具有国家强制3C认证证书。
14.主要技术参数：
测量范围：
身高：90cm～215cm      体重：0kg ～200kg
分度值：身高：0.1cm    体重：0.1kg
误差：身高：±0.1cm    体重：0kg</t>
  </si>
  <si>
    <t>肺活量测试仪</t>
  </si>
  <si>
    <t>单机:
1.测定人体呼吸的最大通气能力，测试数值反映肺的容积和肺的扩展能力。
2.使用进口高精密传感器，精度高，吹管优化设计与处理，不易产生积水，防补气（防作弊）功能，补气时自动锁定数据。
3.测试仪采用一体化设计，液晶显示，读数方便,具有锁定功能。内置锂电池供电（Type-C充电)，低功耗设计，3分钟未使用自动关机，带低电量提示功能。
与主机无线连接，测试结果一目了然，一键式操作，具有清零功能。
4.搭载新一代多频点数字跳频技术，自动跳开干扰频点。
主机:
1.采用原生Android12及以上系统，能够安装APK程序以拓展使用功能及产品升级，屏幕采用≥10.1寸800*1280高清触摸电容屏；主机≥2GB以上运行内存，≥32GB FLASH存储空间；
2.主机支持5.0蓝牙；标配4G全网通网络，无线网卡支持802.11a/b/g/n/ac无线协议，内置SIM卡槽、TF卡槽、USB type-c充电接口1个。
3.主机具有多种身份识别方式：支持前后二维码识别摄像头（前置摄像头500万像素+后置摄像头800万像素），能自动识别测试者二维码身份信息；标配内置双目人脸摄像头识别系统，能自动捕捉识别测试者人脸身份信息，防止替考作弊；也可通过触摸屏手工录入ID号。
4.主机支持蓝牙打印机
5.主机菜单具备单项查询，集体查询，分组查询，具有年级班级组别日期等多种筛选数据方式，查询便捷。
6.主机支持云平台同步国标和自定义评分标准，主机内嵌国标可以根据年级性别项目进行实时评分，适用于体测；也可以自定义导入评分标准对测试结果进行评分，适用于考试。
7.测试前，主机通过云平台从网络同步学生头像。
8.主机查询结果能一屏同时显示测试学校、年级、班级、学生姓名、性别、测试成绩、测试日期及时间，方便后期督查。主机具有日志管理，记录操作人员在主机上的所有操作，便于异常情况的追溯。
9.主机具有数据备份和恢复功能，可以备份任意时间段体测程序里面的所有数据，可以备份多次保存在存储芯片里面。支持一键恢复，根据日期选择要恢复的备份，自动恢复测试数据。
10.主机能实时显示单机状态：实时监控单机电量、信号强度、测试状态、版本号和单机唯一识别码。
11.主机能设置单机参数：设置单机编号、单机测试参数（不同项目参数不同），支持单机集成空中升级，更新程序更加灵活方便。
12.主机与外设采用无线连接；内置高容量锂电池，连续工作 6小时以上。
13.测试主机具有国家强制3C认证证书。
14.主要技术参数：
量程：0～9999ml                                
分度值：1ml
误差：±1.5%FS</t>
  </si>
  <si>
    <t>坐位体前屈测试仪</t>
  </si>
  <si>
    <t>单机:
1.单机采用≥3.5寸320*240分辨率TFT真彩屏，内置电容式触摸按键。
2.单机采用双向光电开关，自动识别手推板前推和回退，手推板可自动回弹归位，具有防作弊成绩自动锁定功能。
3.单机采用锂电池供电，内置2000mAh锂电池，可持续工作15个小时以上；采用microusb接口充电。
4.单机主控显示部分和测试杆间顶针式连接，可灵活自由拆卸，进行充电及日常保管维护。
5.带辅助测试床体板，含海绵座垫及硬质蹬脚板。
主机:
1.采用原生Android12及以上系统，能够安装APK程序以拓展使用功能及产品升级，屏幕采用≥10.1寸800*1280高清触摸电容屏；主机≥2GB以上运行内存，≥32GB FLASH存储空间；
2.主机支持5.0蓝牙；标配4G全网通网络，无线网卡支持802.11a/b/g/n/ac无线协议，内置SIM卡槽、TF卡槽、USB type-c充电接口1个。
3.主机具有多种身份识别方式：支持前后二维码识别摄像头（前置摄像头500万像素+后置摄像头800万像素），能自动识别测试者二维码身份信息；标配内置双目人脸摄像头识别系统，能自动捕捉识别测试者人脸身份信息，防止替考作弊；也可通过触摸屏手工录入ID号。
4.主机支持蓝牙打印机
5.主机菜单具备单项查询，集体查询，分组查询，具有年级班级组别日期等多种筛选数据方式，查询便捷。
6.主机支持云平台同步国标和自定义评分标准，主机内嵌国标可以根据年级性别项目进行实时评分，适用于体测；也可以自定义导入评分标准对测试结果进行评分，适用于考试。
7.测试前，主机通过云平台从网络同步学生头像。
8.主机查询结果能一屏同时显示测试学校、年级、班级、学生姓名、性别、测试成绩、测试日期及时间，方便后期督查。主机具有日志管理，记录操作人员在主机上的所有操作，便于异常情况的追溯。
9.主机具有数据备份和恢复功能，可以备份任意时间段体测程序里面的所有数据，可以备份多次保存在存储芯片里面。支持一键恢复，根据日期选择要恢复的备份，自动恢复测试数据。
10.主机能实时显示单机状态：实时监控单机电量、信号强度、测试状态、版本号和单机唯一识别码。
11.主机能设置单机参数：设置单机编号、单机测试参数（不同项目参数不同），支持单机集成空中升级，更新程序更加灵活方便。
12.主机与外设采用无线连接；内置高容量锂电池，连续工作 6小时以上。
13.测试主机具有国家强制3C认证证书。
14.主要技术参数
测量范围：-20cm～40cm
分度值：0.1cm
误差： 0cm</t>
  </si>
  <si>
    <t>仰卧起坐测试仪</t>
  </si>
  <si>
    <t>单机:
1.用于考生（女生）仰卧起坐考试，设备配有仰卧起坐测试专用床体坐垫，勾脚套有海绵垫抗压减震、防滑，保护测试者脚面。测试者无需佩戴任何辅助外设，床体具备精准检测测试者平躺后肩胛是否着垫功能。坐起时能精准检测考生肘部感应位置，为适应不同身高学生实现精准测试，探头支架可前后左右移动，调节长度和高度。考生只有动作规范自动计时才计数，考试结束后自动出成绩。
2.测试感应探头采用无线双探头设计，内置高精度抗干扰传感器，具有抗阳光干扰设计，提高测试灵敏度。
3.配备96*32分辨率的无线 LED点阵大显示屏，阳光下清晰可见，可与双感应探头无线连接显示，无任何冗长线束干扰磕绊.
4.具备信号通讯多频道设置模式。
主机:
1.采用原生Android12及以上系统，能够安装APK程序以拓展使用功能及产品升级，屏幕采用≥10.1寸800*1280高清触摸电容屏；主机≥2GB以上运行内存，≥32GB FLASH存储空间；可支持扩展最大128G Micro_SD卡。
2.主机支持5.0蓝牙；标配4G全网通网络，无线网卡支持802.11a/b/g/n/ac无线协议，内置SIM卡槽、TF卡槽、USB type-c充电接口1个。
3.主机具有多种身份识别方式：支持前后二维码识别摄像头（前置摄像头500万像素+后置摄像头800万像素），能自动识别测试者二维码身份信息；标配内置双目人脸摄像头识别系统，能自动捕捉识别测试者人脸身份信息，防止替考作弊；也可通过触摸屏手工录入ID号。
4.主机支持蓝牙打印机
5.主机菜单具备单项查询，集体查询，分组查询，具有年级班级组别日期等多种筛选数据方式，查询便捷。
6.主机支持云平台同步国标和自定义评分标准，主机内嵌国标可以根据年级性别项目进行实时评分，适用于体测；也可以自定义导入评分标准对测试结果进行评分，适用于考试。
7.测试前，主机通过云平台从网络同步学生头像。
8.主机查询结果能一屏同时显示测试学校、年级、班级、学生姓名、性别、测试成绩、测试日期及时间，方便后期督查。主机具有日志管理，记录操作人员在主机上的所有操作，便于异常情况的追溯。
9.主机具有数据备份和恢复功能，可以备份任意时间段体测程序里面的所有数据，可以备份多次保存在存储芯片里面。支持一键恢复，根据日期选择要恢复的备份，自动恢复测试数据。
10.主机能实时显示单机状态：实时监控单机电量、信号强度、测试状态、版本号和单机唯一识别码。
11.主机能设置单机参数：设置单机编号、单机测试参数（不同项目参数不同），支持单机集成空中升级，更新程序更加灵活方便。
12.主机与外设采用无线连接；内置高容量锂电池，连续工作 6小时以上。
13.测试主机具有国家强制3C认证证书。
14.主要技术参数
测量范围：0～9999次   
分度值：1次    
误差：0次</t>
  </si>
  <si>
    <t>跳绳测试仪</t>
  </si>
  <si>
    <t>单机:
1.用于考生跳绳考试，支持4人同时测试。跳绳手柄带OLED显示器，具备中文显示，跳绳手柄具备Type—C充电，免拆电池，电池续航可达8.5小时。
2. 绳头卡扣具有自由可拆卸功能，便于下一组考生根据自己身高来预先调节绳子长短，提高测试效率，减轻考生考试心理压力。
3.设备有起、止时间提示（智能语音提示，同时LED显示屏上会显示文字，通过文字和语音双重提醒考生注意），学生跳绳自动开始计时，计数并显示，具备跳断后自动减掉犯规个数功能。
4.具备信号通讯多频道设置模式。
主机:
1.采用原生Android12及以上系统，能够安装APK程序以拓展使用功能及产品升级，屏幕采用≥10.1寸800*1280高清触摸电容屏；主机≥2GB以上运行内存，≥32GB FLASH存储空间；可支持扩展最大128G Micro_SD卡。
2.主机支持5.0蓝牙；标配4G全网通网络，无线网卡支持802.11a/b/g/n/ac无线协议，内置SIM卡槽、TF卡槽、USB type-c充电接口1个。
3.主机具有多种身份识别方式：支持前后二维码识别摄像头（前置摄像头500万像素+后置摄像头800万像素），能自动识别测试者二维码身份信息；标配内置双目人脸摄像头识别系统，能自动捕捉识别测试者人脸身份信息，防止替考作弊；也可通过触摸屏手工录入ID号。
4.主机支持蓝牙打印机
5.主机菜单具备单项查询，集体查询，分组查询，具有年级班级组别日期等多种筛选数据方式，查询便捷。
6.主机支持云平台同步国标和自定义评分标准，主机内嵌国标可以根据年级性别项目进行实时评分，适用于体测；也可以自定义导入评分标准对测试结果进行评分，适用于考试。
7.测试前，主机通过云平台从网络同步学生头像。
8.主机查询结果能一屏同时显示测试学校、年级、班级、学生姓名、性别、测试成绩、测试日期及时间，方便后期督查。主机具有日志管理，记录操作人员在主机上的所有操作，便于异常情况的追溯。
9.主机具有数据备份和恢复功能，可以备份任意时间段体测程序里面的所有数据，可以备份多次保存在存储芯片里面。支持一键恢复，根据日期选择要恢复的备份，自动恢复测试数据。
10.主机能实时显示单机状态：实时监控单机电量、信号强度、测试状态、版本号和单机唯一识别码。
11.主机能设置单机参数：设置单机编号、单机测试参数（不同项目参数不同），支持单机集成空中升级，更新程序更加灵活方便。
12.主机与外设采用无线连接；内置高容量锂电池，连续工作 6小时以上。
13.测试主机具有国家强制3C认证证书。
14.主要技术参数：
   　 测量范围：0～9999次
　　　分度值：1次
　　　误差： 0次</t>
  </si>
  <si>
    <t>五十米跑测试仪</t>
  </si>
  <si>
    <t>单机:
1.用于考生50米跑步考试，支持2人同时测试（可扩展至8人同测）。
2.主机具有抢跑重置功能，无需重新录入测试人员信息。50米起点处放置犯规检测装置，如有抢跑会有犯规提示（智能语音提示“抢跑  已犯规”）。犯规后将考生召回起点，可以一键重测，无需重新录入考生信息。起跑犯规功能，同时可以达到单个跑道犯规提醒，不影响其他跑道测试，50米终点处放置感应杆，考生通过终点感应杆后自动出成绩。
3.单机感应探头自带液晶显示屏，可显示信号、电量、测试编号等。
4.测试设备具备多频道切换模式。
主机:
★1.采用原生Android12及以上系统，能够安装APK程序以拓展使用功能及产品升级（可现场演示），屏幕采用≥10.1寸800*1280高清触摸电容屏；主机≥2GB以上运行内存，≥32GB FLASH存储空间；可支持扩展最大128G Micro_SD卡。
★2.主机支持5.0蓝牙；标配4G全网通网络，无线网卡支持802.11a/b/g/n/ac无线协议，内置SIM卡槽、TF卡槽、USB type-c充电接口1个。
★3.主机具有多种身份识别方式：支持前后二维码识别摄像头（前置摄像头500万像素+后置摄像头800万像素），能自动识别测试者二维码身份信息；标配内置双目人脸摄像头识别系统，能自动捕捉识别测试者人脸身份信息，防止替考作弊；也可通过触摸屏手工录入ID号。
4.主机支持蓝牙打印机
5.主机菜单具备单项查询，集体查询，分组查询，具有年级班级组别日期等多种筛选数据方式，查询便捷。
6.主机支持云平台同步国标和自定义评分标准，主机内嵌国标可以根据年级性别项目进行实时评分，适用于体测；也可以自定义导入评分标准对测试结果进行评分，适用于考试。
7.测试前，主机通过云平台从网络同步学生头像。
8.主机查询结果能一屏同时显示测试学校、年级、班级、学生姓名、性别、测试成绩、测试日期及时间，方便后期督查。主机具有日志管理，记录操作人员在主机上的所有操作，便于异常情况的追溯。
9.主机具有数据备份和恢复功能，可以备份任意时间段体测程序里面的所有数据，可以备份多次保存在存储芯片里面。支持一键恢复，根据日期选择要恢复的备份，自动恢复测试数据。
10.主机能实时显示单机状态：实时监控单机电量、信号强度、测试状态、版本号和单机唯一识别码。
11.主机能设置单机参数：设置单机编号、单机测试参数（不同项目参数不同），支持单机集成空中升级，更新程序更加灵活方便。
12.主机与外设采用无线连接；内置高容量锂电池，连续工作 6小时以上。
★13.测试主机具有国家强制3C认证证书。
14.主要技术参数：
    　测量范围：0S～9999.99S  
　　　分度值：0.01s    
误差：0s</t>
  </si>
  <si>
    <t>往返跑测试仪（2人）</t>
  </si>
  <si>
    <t>单机:
1.自动测量50米×8往返跑的时间，测试受试者速度，反应速度，灵敏素质及神经系统灵活性的发展水平。
2.仪器可扩展测试10米×8次，15米×8次，25米×4次等不同距离次数规格要求的折返跑。
3.标准配置2人同测，可增配扩增至2人同测。
主机:
1.采用原生Android12及以上系统，能够安装APK程序以拓展使用功能及产品升级，屏幕采用≥10.1寸800*1280高清触摸电容屏；主机≥2GB以上运行内存，≥32GB FLASH存储空间；可支持扩展最大128G Micro_SD卡。
2.主机支持5.0蓝牙；标配4G全网通网络，无线网卡支持802.11a/b/g/n/ac无线协议，内置SIM卡槽、TF卡槽、USB type-c充电接口1个。
3.主机具有多种身份识别方式：支持前后二维码识别摄像头（前置摄像头500万像素+后置摄像头800万像素），能自动识别测试者二维码身份信息；标配内置双目人脸摄像头识别系统，能自动捕捉识别测试者人脸身份信息，防止替考作弊；也可通过触摸屏手工录入ID号。
4.主机支持蓝牙打印机
5.主机菜单具备单项查询，集体查询，分组查询，具有年级班级组别日期等多种筛选数据方式，查询便捷。
6.主机支持云平台同步国标和自定义评分标准，主机内嵌国标可以根据年级性别项目进行实时评分，适用于体测；也可以自定义导入评分标准对测试结果进行评分，适用于考试。
7.测试前，主机通过云平台从网络同步学生头像。
8.主机查询结果能一屏同时显示测试学校、年级、班级、学生姓名、性别、测试成绩、测试日期及时间，方便后期督查。主机具有日志管理，记录操作人员在主机上的所有操作，便于异常情况的追溯。
9.主机具有数据备份和恢复功能，可以备份任意时间段体测程序里面的所有数据，可以备份多次保存在存储芯片里面。支持一键恢复，根据日期选择要恢复的备份，自动恢复测试数据。
10.主机能实时显示单机状态：实时监控单机电量、信号强度、测试状态、版本号和单机唯一识别码。
11.主机能设置单机参数：设置单机编号、单机测试参数（不同项目参数不同），支持单机集成空中升级，更新程序更加灵活方便。
12.主机与外设采用无线连接；内置高容量锂电池，连续工作 6小时以上。
13.测试主机具有国家强制3C认证证书。
14.主要技术参数：
测量范围：0～9999.99S  
分度值：0.01s
误差：±1.5%</t>
  </si>
  <si>
    <t>数据管理平台</t>
  </si>
  <si>
    <t xml:space="preserve">一、WEB端体质健康测试管理子系统
1、公告
1.具有发布、查看公告的功能。
2、基本信息管理
2.基本信息管理
2.1学校信息管理
可对学校、年级、班级信息进行管理。
2.2学生信息管理
1）对学生信息进行统一的系统管理，可添加、删除、修改、调班、转校、升学、留级。
2）为保证学生信息的唯一性、连贯性，需对导入的学生基本信息自动校验，学生信息进行多维度自动校验，包括姓名、性别、出生年月日、身份证号、学籍号，校验未通过信息不允许进入系统，并自动生成错误信息列表。
3）学生信息变化日志追踪
查询、跟踪学生信息更新情况。展示学生姓名、编号、转校或调班路径。
4）学生身份识别管理
a.系统提供生成学生身份唯一识别标签的管理功能。
b.学生身份唯一识别标签可拓展第三方平台。
5)学校、年级、班级、学生基本信息可通过开放平台和智慧校园对接。
3、体测管理
3.1 体测项目分类管理
用户可以设置添加、修改、删除分类。
3.2 体测项目管理
系统内置国家所有标准项目，并具有添加、删除、修改功能。
3.3 体测结论管理
3.4 体测评价管理
针对每一项体测项目允许出现的结论可以添加、修改、删除对应的评价描述或链接，并可根据区主管教育部门的要求随时进行调整管理。
3.5体测配置管理
1)可按要求建立多套体测标准及评分，并进行灵活配置。
2）可对体测标准、评分进行灵活配置。
4、数据管理
4.1.体测数据
1）本系统所采集体测所有项目测试数据，可自动转存本区体检管理系统，本系统也可自动接收体检平台转存至本平台的相应项目的测试数据。
2）教育主管部门账户可远程实时查看各学校体测数据，可细化到单个学生单项成绩的实时查看。
3）按照学年进行不同年度学生体测数据的查看。
4）可按学校、年级、班级、学生的体测数据实时查看漏测、已测、未测状况，监管体测进行情况。
4.2 数据报告
1)一键生成市、区、学校级体测数据监测报告，监测报告须包含学生体测覆盖情况、监测内容、监测目的、监测方法、监测指标、检测结果和分析（体测情况统计及体测各项平均值统计）、今后工作指导意见。
2)系统自动生成国家学生体质健康标准登记卡，可查看学生测试数据，自动关联生成总评，可按年级、班级生成打印包。  
4.3 体测档案
自动生成学生个体体测档案，记录学生体测历史信息。
5、常规统计
常规统计模块主要包括：体测情况统计、平均值统计、个人信息比对、群体信息比对、单项统计和评分统计。统计学生的体测情况，统计图呈现学生数据变化趋势，统计表统计学生具体数据。
5.1 体测情况统计：用户可根据项目、学校、性别、年龄多条件显示测试进程并配柱状图和图表。
5.2 平均值统计：按照区展示单项成绩平均值，并按照学校展示单项成绩平均值，在同一界面进行直观比较。
6、系统监控管理
查看各级账户的登录情况。
7、系统管理
7.1 菜单管理 
7.2 角色管理
7.3 用户管理
1）建立账号，并且分配角色
2）用户账号的启用和禁用
7.4 升学管理
二、现场体测数据采集子系统
1、基本信息下载
1.1 体测项目一键下载
1.2 学校基本信息一键下载
可以根据登录账号权限在下载列表中选择学校，一键下载对应学校学生基本信息。
2、体测项目配置
2.1 体测项目管理
1） 可按体测项目分类进行单项或多项本机当前测试项目配置
2） 体测软件（APP）可实现独立运行，采集体测数据，也可实现与测试仪器、设备连接，自动采集测试结果。
3、体测数据采集
3.1 可通过扫描或刷卡等方式读取学生唯一身份识别标签，启动单个学生体测数据采集界面，
3.2 体测软件（APP）独立采集学生单项测试成绩，或与测试仪器、设备连接，自动接收硬件回传测试成绩。
3.3 对于明显超出界值或者明显错误的信息自动提示。
3.4 单个学生单项数据采集完成后可通过市场通用数据传输通信方式实时保存至系统后台体测数据库，身高、体重、肺活量三项数据同时保存系统后台体检数据库。
4、体测数据上报
4.1 对保存在智能采集端中的体测数据进行上报。
4.2 可按学校查询本机已检、待报学生人数。
（五）、本机基本信息删除（数据管理）
5.1 体测数据管理：可以删除保存在本机中的体测项目信息。
5.2 体测信息管理：可以删除保存在本机中的学校、年级、班级、学生信息。
6、体测数据管理
6.1 可按照学校、年级、班级查看本机已检与未检学生人数及列表。
6.2 可按照学校、年级、班级查找学生，可以管理本机测试学生数据。
6.3 测试主机内存所有测试项目成绩可支持隐性导出。
7、体测实时查询
在体测过程中，可以按照体测学校、年级、班级实时查看漏检和未检学生人数及列表，包括对应未测项目。
</t>
  </si>
  <si>
    <t>汝南县刘屯小学舞蹈教室设备设施配置清单</t>
  </si>
  <si>
    <t>把杆</t>
  </si>
  <si>
    <t>把杆长3米,直径55mm，内有22mm直径锰钢，带弹性，水曲柳材质。支架采用优质无缝钢管焊接而成，颜色珍珠白、高亮。活动升降內芯为优质电镀圆管，螺旋拉销式升降控制装备，升降高度可调节40cm。标准舞蹈把杆升降高度为80-120cm ，移动底座重50公斤一副</t>
  </si>
  <si>
    <t>舞蹈凳</t>
  </si>
  <si>
    <t>简约现代所设计、超纤皮方形黑色、材质：超纤皮。35*35*60cm。</t>
  </si>
  <si>
    <t>舞蹈压腿凳</t>
  </si>
  <si>
    <t>练功凳，尺寸：200*24*30cm松木实木整料，无拼接，中间海绵一层，表面采用皮革包裹。</t>
  </si>
  <si>
    <t>舞蹈压腿砖</t>
  </si>
  <si>
    <t>环保高密度EVA,方形，环保无味，闭孔发泡结构，高密度抗压不变形，尺寸：23*15*7cm。舞蹈教室专用，稳定支撑，柔软防护，辅助学员伸展，防止拉伤，调整正确姿势。</t>
  </si>
  <si>
    <t>舞蹈垫</t>
  </si>
  <si>
    <t>材质：环保TPE材质，安全无异味；
规格：1.83m±2cm*80*8mm
用途：瑜伽，舞蹈，健身。</t>
  </si>
  <si>
    <t>舞蹈练功球</t>
  </si>
  <si>
    <t>尺寸：55cm；
材质：橡胶材质
外观：光滑，环保加厚防爆，加倍稳定不变形；</t>
  </si>
  <si>
    <t>舞蹈拉力带</t>
  </si>
  <si>
    <t>TP面料，拉丁弹力带，尺寸：天然乳胶 1500mm*150mm*0.35mm</t>
  </si>
  <si>
    <t>舞蹈镜</t>
  </si>
  <si>
    <t>镜面厚度不低于5mm。优质防水镜面含边框</t>
  </si>
  <si>
    <t>平米</t>
  </si>
  <si>
    <t>ABS更衣柜</t>
  </si>
  <si>
    <t>单门高465mm,宽350mm,深500mm
1.材质：门板需由全新ABS 塑料制成，柜体需采用高强度HIPS工程塑料制成，柜门与柜体连接需采用限位尼龙铰链，避免开关柜门铰链损伤门板。铰链数量2个。
2.工艺：所有板材需采用钢制模具一次注塑成型；
3.产品需具有抗冲击、耐腐蚀、不生锈特点；
4.采用榫卯连接结构，DIY 组装，不用胶水，不用金属螺丝，不易变形，可重复拆装使用。产品加强筋采用最新的蜂窝设计，即结实又易于清理卫生，提升抗压力，整柜做工精细，无毛边毛刺等瑕疵；
5.整个柜体板材之间的连接完全不需要任何螺丝，采用拼接的方式，防止侧板变形，整体做到可重复拆装利用。门板采用非贴膜、非喷漆、柜门颜色及外观的可塑性比较高，可以根据客户的不同需求定制不同的颜色，让自己的柜子与众不同，个性凸显！</t>
  </si>
  <si>
    <t>ABS更衣凳</t>
  </si>
  <si>
    <t>1、产品单条规格：长1200*宽420*高430mm； 单张凳子由3条凳面和2条凳腿组成。（±5mm 误差）
2、凳脚设计及材质  + 堵头A级ABS（聚苯乙烯树脂）全新工程塑料制成，强度高、韧性好、耐冲击，不易腐蚀，无毒无味，防腐、防锈、防潮、环保耐用。
3、凳面均为硬质PVC塑料材质，永不生锈，可承重约800KG；
4、 每条凳面精美10条防滑纹，延伸至凳面堵头；
5、凳面内部切面结构：四小格+2条支柱；
6、A级ABS（聚苯乙烯树脂）全新工程塑料+304不锈钢螺母合制而成，每条凳面插入3个精美滑块（1200配置2个滑块），加固凳面和凳脚，避免凳面和凳脚长期使用摩擦导致凳面不稳；(滑块灰色或者白色)304不锈钢加长螺丝固定，凳面和凳脚；</t>
  </si>
  <si>
    <t xml:space="preserve"> 小学体育器材设施配备</t>
  </si>
  <si>
    <t>计算器</t>
  </si>
  <si>
    <t>1、LCD液晶屏；2、12位数，塑胶按键，具有报数功能、音乐闹铃和时间日期显示功能；3、优质线路板</t>
  </si>
  <si>
    <t>录放音机</t>
  </si>
  <si>
    <t>多功能教学专用，外置CD/MP3/CD-R/CD-RW/USB/蓝牙播放功能，复读功能，多功能遥控操作系统，LCD显示，重复播放功能，FM多波段收音机、立体声耳机插座，直交流两用电。</t>
  </si>
  <si>
    <t>扩音设备</t>
  </si>
  <si>
    <t xml:space="preserve">手提折叠式，传输距离≥300米，录音功能，便携式喇叭，配电池、充电器、5W电源两用。    </t>
  </si>
  <si>
    <t>打气筒</t>
  </si>
  <si>
    <t>长30cm，多功能气针组合，产品由气筒、踏脚、活塞、活塞杆、手柄、橡胶管、气针夹等组成；踏脚选用金属制成；</t>
  </si>
  <si>
    <t>电动充气泵</t>
  </si>
  <si>
    <t>1、工作电压：AC220V-230V，单缸。
2、气流量35L/分钟，金属30MM加大气缸，适用各种球类等。
3、打气速度快，操作简单，使用方便。
4、用于篮球、排球、足球充气</t>
  </si>
  <si>
    <t>布卷尺</t>
  </si>
  <si>
    <t>1、供中小学体育教学测试用，10m。2、皮尺1000mm长示值允许误差≤2mm，最小分度值1cm,整厘米刻度线与半厘米刻度线以长短宽窄区分，苎麻布卷尺，防水，防腐蚀；摇把金属制成。3、刻线均匀，清晰，垂直纵边，无断线，刻度值印刷清晰准确，不易脱落。</t>
  </si>
  <si>
    <t>1、供中小学体育教学测试用，20m。2、皮尺1000mm长示值允许误差≤2mm，最小分度值1cm,整厘米刻度线与半厘米刻度线以长短宽窄区分，苎麻布卷尺，防水，防腐蚀；摇把金属制成。3、刻线均匀，清晰，垂直纵边，无断线，刻度值印刷清晰准确，不易脱落。</t>
  </si>
  <si>
    <t>1、供中小学体育教学测试用，30m。2、皮尺1000mm长示值允许误差≤2mm，最小分度值1cm,整厘米刻度线与半厘米刻度线以长短宽窄区分，苎麻布卷尺，防水，防腐蚀；摇把金属制成。3、刻线均匀，清晰，垂直纵边，无断线，刻度值印刷清晰准确，不易脱落。</t>
  </si>
  <si>
    <t>1、供中小学体育教学测试用，50m。2、皮尺1000mm长示值允许误差≤2mm，最小分度值1cm,整厘米刻度线与半厘米刻度线以长短宽窄区分，苎麻布卷尺，防水，防腐蚀；摇把金属制成。3、刻线均匀，清晰，垂直纵边，无断线，刻度值印刷清晰准确，不易脱落。</t>
  </si>
  <si>
    <t>数字秒表</t>
  </si>
  <si>
    <t>三排显示，60时段记忆功能（1/100秒精确计时）预置倒数计时，专设步频节拍器可显示最快、最慢、平均时间时间、日历、定时闹响（12/24小时制式转换）大容量锂电池，电池寿命3年,二种秒表功能模式</t>
  </si>
  <si>
    <t>体育器材橱（柜)</t>
  </si>
  <si>
    <t>1.尺寸：1850*900*390mm。
2.材质：整体采用≥0.6mm钢板制作而成，拆装式，方便移动和运输。
3.颜色：整体灰色。
4.要求：上边三层，玻璃对开门，玻璃厚度3.5mm，下边两层。中间隔板高度可以随意调节。应符合JY0001-2003的有关规定。</t>
  </si>
  <si>
    <t>接力棒</t>
  </si>
  <si>
    <t>1、长度300mm，直径30mm。2、用铝合金管制成，表面光洁，体形端直，无变形，无弯曲等缺陷，两边塑料堵头。3、表面涂彩色油漆，色泽鲜艳。</t>
  </si>
  <si>
    <t>跳高架</t>
  </si>
  <si>
    <t>1.跳高架由底座，移动立柱，横杆托架微调支脚构成。底座：320*320mm厚2.5mm,产品形式简洁，结构合理，可拆装，便于运输和包装。
2.固定立柱与移动立柱选用铝合金型材，表面氧化处理，固定立柱采用40*50mm的铝合金方管，刻度调节范围300-2300mm，升降立柱采用38*25mm,的铝合金管，两端塑料塞封口。
3.底部设有PU滚轮，移动方便。 
4.跳高架横杆托架40*60mm采用塑料材质安全，牢固等优点且上下移动方便。 
5.跳高架底座底部设有微调机构，通过调节微调机构可满足场地不平整引起的跳高架的稳定性和横杆的高度要求。 
6.喷涂工件的表面处理分两个阶段，前处理阶段使工件获得质量优良的介质层，增加防锈涂膜与金属基本的结合力，是提高产品表面 处理能力的必备基础措施。表面处理阶段是将粉末 通过高压静电作用均匀涂敷在被涂物体上的过程。当涂层达到一定厚度后，进入烘炉加热，涂料熔融固化，形成厚度均匀，质地牢固的涂层。产品所有器材均在全自动喷涂流水线上作业，经抛丸-脱脂-水洗-无磷转化-水洗-烘干-静电粉末-固化等过程。产品涂层厚度70-80um，铅笔硬度达3H+，产品具有耐酸碱，耐湿热，抗老化，外观美观等优点，能适合潮湿和酸雨环境，且前处理过程以及产品涂料配方均不含有毒元素，避免损害使用者的健康。</t>
  </si>
  <si>
    <t>跳高垫</t>
  </si>
  <si>
    <t>3000mm×2000mm×300mm采用牛津布外皮；内胆为26#优质高弹海绵,经防静电处理,强力好,接缝处平整、均匀牢固、棱角平整、手把结实.色泽均匀一致。表面层不得由对视觉由干扰的图像或标志。可在长度方向对半折叠，两侧各有提手、便于移动，聚乙稀高泡海棉。</t>
  </si>
  <si>
    <t>跳高横杆</t>
  </si>
  <si>
    <t>比赛型。1．跳高横杆由横杆和横杆接头组成。2．横杆采用φ30的玻璃钢材料制作，总长为4000mm，质量小于2000g。横杆接头采用特殊的外形结构。3．横杆固定在立柱上时，中心自然下垂应小于20mm。4．横杠应具有一定的弹性，在横杠中央悬挂3kg重物时，横杠中心下垂应不超过70mm。</t>
  </si>
  <si>
    <t>跨栏架</t>
  </si>
  <si>
    <t>可升降，最低400MM，材质跨栏架由底部方管、竖向立管、伸缩管、调高定位销及上沿跨栏板等组成。栏板为PVC成型材料，其规格为：1200×70×20MM。跨栏架可调高度为：400-600 MM，共三档。底部方管：50*50MM竖向立管内置调高定位销，伸缩管上配置有与其所需高度相对应的高度定位孔，调高灵活，定位准确，锁紧可靠。底部方管内置配重，可调节。所有钢制件表面均经酸洗、磷化等初级处理后在自动喷涂线上采用纯聚酯粉末喷涂完成最后表面处理，涂层厚度70—80um，铅笔硬度达3H+，试品经GB1771-91 36小时盐雾试验，涂膜无变化，划格处单面腐蚀＜2mm，产品具有耐酸碱、耐湿热、抗老化、外观美观等优点，能适合潮湿和酸雨环境，适用于室外使用，且产品涂料配方不含有毒元素，避免损害使用者的健康。</t>
  </si>
  <si>
    <t>起跑器</t>
  </si>
  <si>
    <t>主要由底座和脚踏组成，起跑器长63.5cm，卡槽宽9.5cm，连接板宽22.5cm；脚踏长16.5cm，宽10.5cm，表面镶嵌1cm厚的防滑胶垫，胶垫长16cm宽9cm厚1cm,前后可调，为卡式调节。调节范围为0-55cm可调，高14-16cm六档可调；带有提手，方便携带，背面设有12个地插钉，防止移位。</t>
  </si>
  <si>
    <t>发令枪</t>
  </si>
  <si>
    <t>双发式。钢制枪身，手柄为专用塑料材质,5.6mm定装发令弹；击发方式：单发击发；声响：100米处不小于60分贝；烟雾：150米处清晰可见。符合教学标准要求。</t>
  </si>
  <si>
    <t>钉鞋</t>
  </si>
  <si>
    <t>7钉，轻盈透气网面材质，可拆卸跑钉。标准运动鞋码。</t>
  </si>
  <si>
    <t>双</t>
  </si>
  <si>
    <t>标志筒</t>
  </si>
  <si>
    <t xml:space="preserve">全塑料制品,高度为45cm，呈圆锥体状，放置平稳                                                                            </t>
  </si>
  <si>
    <t>实心球</t>
  </si>
  <si>
    <t>1kg圆周长350mm～780mm,质量1000g±30g
圆球形，充气式橡胶实心球，有内胆，手感柔软无伤害，外摸无填充物感觉。球面用4mm厚的天然橡胶整体成形，未使用再生胶，产品没有异味。从10M高处自由落体试验后，无破裂。球表面防滑，球上有明显不易脱落的商标、标志。外表面均匀分布乳头状小颗粒，半球结合处没有凹楞。</t>
  </si>
  <si>
    <t>投掷靶</t>
  </si>
  <si>
    <t>高120cm，宽51cm，2cm方管，靶心直径25cm，靶面50*50cm，移动折叠式,可投掷小皮球、小沙包。</t>
  </si>
  <si>
    <t>钻圈架</t>
  </si>
  <si>
    <t>高79cm，宽69.5cm，底3*3*50cm方管，立柱2.5*2.5*50cm方管，下横撑2*2*63.5cm方管，可用于中小学体育训练、游戏互动使用。也可用于足球训练使用</t>
  </si>
  <si>
    <t>铅球</t>
  </si>
  <si>
    <t>实心铸铁铅球，重量3kg。表面光滑，均匀，圆周公差＜0.05。实心铸铁材质。</t>
  </si>
  <si>
    <t xml:space="preserve">铅球 </t>
  </si>
  <si>
    <t>实心铸铁铅球，重量4kg。表面光滑，均匀，圆周公差＜0.05。实心铸铁材质。</t>
  </si>
  <si>
    <t>标志杆</t>
  </si>
  <si>
    <t>底座重1kg，直径22cm高7cm，PVC管高1.5m，直径2.5cm，三角红旗（33*47*56cm）</t>
  </si>
  <si>
    <t>起跳板</t>
  </si>
  <si>
    <t>1220×300×100㎜，起跳板为长方形，用优质材料拼接而成，木材经防水处理，不变形，防水淋，漆成白色。
2.起跳板顶部铺一个长度为1220mm，宽度为100mm，厚度为2mm的橡皮泥显示板。</t>
  </si>
  <si>
    <t>划线器</t>
  </si>
  <si>
    <t>干粉划线器，总高730mm长500mm宽300mm，轮子φ100mm，扶手铁管φ25mm线宽45mm；可装粉15升；三轮车斗式，带手推把柄，推手处圆管直径22mm。带轮 可移动，滑轮设置合理，推动灵活，放置平稳，漏石灰均匀。</t>
  </si>
  <si>
    <t>软式练习跨栏架</t>
  </si>
  <si>
    <t>栏架长：700mm～800mm，底板宽：200mm～250mm，横板宽：80mm～100mm：高度可三档调节为：300mm、500mm、600mm</t>
  </si>
  <si>
    <t>软式练习标枪</t>
  </si>
  <si>
    <t>枪身长800mm～900mm，直径 ：45mm～50mm，软质材料制成</t>
  </si>
  <si>
    <t>掷准练习标枪</t>
  </si>
  <si>
    <t xml:space="preserve">枪体长300mm～320mm：呈橄榄状，枪体装有响哨，柔软材料制成                                                 </t>
  </si>
  <si>
    <t>塑胶练习标枪</t>
  </si>
  <si>
    <t>枪体长680mm，直径35mm，质量300g，枪头由柔软塑胶材料制成</t>
  </si>
  <si>
    <t xml:space="preserve">彩带软球 </t>
  </si>
  <si>
    <t>整体呈彗星状，长度650mm～700mm：前部分球体直径60mm～70mm，后部分尾翼为蓝、红、黄色相间的彩色布料，长度600mm</t>
  </si>
  <si>
    <t>软式铁饼</t>
  </si>
  <si>
    <t>直径180mm～200mm，质量550g，空心结构，柔软塑胶材料制成</t>
  </si>
  <si>
    <t>软式教学铁饼</t>
  </si>
  <si>
    <t>直径200mm～220mm，质量400g：空心结构，边缘为锯齿状，有把手，标有旋转方向箭头，柔软塑胶材料制成</t>
  </si>
  <si>
    <t>软式练习铅球</t>
  </si>
  <si>
    <t>直径85mm～100mm，质量：1000g，外胆由柔软塑胶材料制成</t>
  </si>
  <si>
    <t>软式练习接力环</t>
  </si>
  <si>
    <t>外圈直径170mm～190mm，内圈直径90mm～100mm，环身有防滑纹，可充气，柔软塑胶材料制成</t>
  </si>
  <si>
    <t>软式趣味绳套</t>
  </si>
  <si>
    <t>长度9500mm，每节长度500mm，黑白或彩色相间：可随意摆放成各种格子供跑跳练习，柔软泡沫材料制成</t>
  </si>
  <si>
    <t>软式跳高横杆</t>
  </si>
  <si>
    <t>长度3500mm，杆体直径25mm～30mm：中间穿高强度弹力绳，两边连接塑料绳扣，通过绳扣完成横杆与立杆的快捷连接，杆体由柔软泡沫材料制成</t>
  </si>
  <si>
    <t>彩色标志杆组合</t>
  </si>
  <si>
    <t xml:space="preserve">由杆、底座、连接卡子和标志小旗组成：杆长 1200mm～1500mm，底座直径200mm～250mm，底座可充沙子，塑料制成                                                                                                            </t>
  </si>
  <si>
    <t>助跳板</t>
  </si>
  <si>
    <t>1．助跳板长1200mm，宽600mm,高250mm。上板厚18mm，下板厚24mm四簧直径大8mm，小6mm。2．上盖有防滑层。3．S型弹簧，材质坚硬而富有弹性，表面漆层均匀光洁，木材无裂缝，无疤痕，不变形并经脱脂干燥处理。</t>
  </si>
  <si>
    <t>山羊</t>
  </si>
  <si>
    <t>升降600mm-800mm，五档调节，山羊头内用实木拼接，外包革面，尺寸：400mm×200mm×200mm。腿外管直径38mm，内管直径32mm，壁厚1.5mm；羊脚底椭圆面长径78mm，短径72mm，采用铸铁.山羊身必须平整，软硬适宜，手感舒服，底托，箍于腿连接牢靠内外管配合严密，升降灵活，组装后落地平稳，应色泽一致，不允许有伤疤，缝线应不漏针跳线，无气泡无流挂。腿外管表面采用抛丸喷砂，酸洗磷化除锈，表面静电喷涂，全部使用优质纯聚酯室外粉末，厚度不低于80um色彩鲜艳。</t>
  </si>
  <si>
    <t>跳箱</t>
  </si>
  <si>
    <t>五节跳箱长100cm，高84cm，上宽：26cm，下宽：58cm，用20mm厚硬杂木制成，面涂有起保护和装饰用的漆层，箱体间拼装稳定牢固，平直，接地平稳。2、跳箱从上至下逐渐增大呈梯形，跳箱盖平整，软硬适宜，手感舒适，用重体海绵做成弧形，表面用优质人造革包制，泡钉封口，级间用内撑木插联组合，每节衔接应平整，紧凑。</t>
  </si>
  <si>
    <t>小跳垫</t>
  </si>
  <si>
    <t>1．小体操垫规格为1200×600×50mm。2．内胆材质为聚乙烯塑料发泡海绵，为一个整块结构，不允许拼湊；采用环保材料。3．垫套为牛津布，颜色为军绿色，体操垫两侧设提手把。涤纶线缝合，两面革贴角。4. 跳垫的四角为直角，四周仿皮革包角：表面平整，无皱折，当载荷落至体操垫时，外层不得起皱，里外层不得发生相对位移。</t>
  </si>
  <si>
    <t>大跳垫</t>
  </si>
  <si>
    <t>1．大体操垫规格为2000×1000×100mm。2．内胆材质为聚乙烯塑料发泡海绵，为一个整块结构，不允许拼湊；采用环保材料。3．垫套为牛津布，颜色为军绿色，体操垫两侧设提手把。涤纶线缝合，两面革贴角。4. 跳垫的四角为直角，四周仿皮革包角：表面平整，无皱折，当载荷落至体操垫时，外层不得起皱，里外层不得发生相对位移。</t>
  </si>
  <si>
    <t>体操棒</t>
  </si>
  <si>
    <t>1.长90cm，直径3cm，2．外观颜色鲜艳醒目，无毛刺尖锐物；颜色红白色各半。</t>
  </si>
  <si>
    <t>体操凳</t>
  </si>
  <si>
    <t>长2m,宽：190mm，高290mm，板厚：38mm尺寸：2000×300×200mm±5mm。放置稳固，以木质为主，表面平整，棱角光滑，无毛刺、缺损、木疥。3．外观颜色鲜艳醒目.</t>
  </si>
  <si>
    <t>纱巾</t>
  </si>
  <si>
    <t>1. 符合国家标准。2. 丝绸制品。</t>
  </si>
  <si>
    <t>彩带</t>
  </si>
  <si>
    <t>绸缎料柄长48cm，直径0.4cm，彩带长4m，宽4.5cm彩带面料采用人造丝单独织成，不抽丝，有质感；彩带手棒：玻璃纤维，套皮套，坚纫耐用；</t>
  </si>
  <si>
    <t>艺术体操球</t>
  </si>
  <si>
    <t>直径18cm～20cm，质量约400g</t>
  </si>
  <si>
    <t>艺术体操圈</t>
  </si>
  <si>
    <t>内径80cm～90cm，质量约300g</t>
  </si>
  <si>
    <t>艺术体操棒</t>
  </si>
  <si>
    <t>长40cm～50cm，质量至少150g</t>
  </si>
  <si>
    <t>艺术体操绳</t>
  </si>
  <si>
    <t>长度应与学生身高相称</t>
  </si>
  <si>
    <t>艺术体操带</t>
  </si>
  <si>
    <t>带长6m，宽40mm～60mm，重35g以上；棍长500mm～600mm，直径不超过10mm</t>
  </si>
  <si>
    <t>小学生用篮球</t>
  </si>
  <si>
    <t>规格：5号篮球，重量：465-535克，圆周：680-700毫米，球压标准：7-9磅，皮革材质：高档耐磨PU皮革，中胎材质：抗冲击10000次以上比赛级中胎，篮球构造：天然橡胶内胆，中胎，外皮革三层，适用场地：室内室外通用，篮球级别：小学生比赛用球，篮球特点：超级耐磨，手感佳，弹性好</t>
  </si>
  <si>
    <t>小学生用排球</t>
  </si>
  <si>
    <t>规格：5号排球，重量：260-280克，圆周：650-670毫米，球压标准：4-6磅，皮革材质：亚超细皮革，中胎材质：训练比赛级中胎，排球构造：内胆，中胎，外皮革三层，适用场地：室内室外通用，排球级别：训练比赛用球，排球特点：皮革柔软，手感极佳，弹性好</t>
  </si>
  <si>
    <t>排球网柱</t>
  </si>
  <si>
    <t>1、移动式，高度调节范围1550-2430MM；零部件全部采用优质金属结构件；排球柱立柱外管直径为89*2.5MM，内管直径为76*2MM，支架顶部加一滑动滚轮，缓冲拉绳与支架间的摩擦，同时更好的操控球网的长度和高度。配有电镀铸铁轮，金属紧线器，带卡轮，金属摇把，轻轻摇动即可拉紧绳网，不会松动。内侧对称配有相应高度的球网挂钩，用来固定排球网。
2、排球柱升降灵活、底盘稳固，有配重箱、箱体上有小车轮，移动灵活。配重箱外形尺寸：600*400*300MM；箱体盖板厚度1.5MM，箱体铁板厚1.2MM。
3、金属外表面均经酸洗、脱脂、磷化等初步处理后再打沙处理，并采用室外专用优质烤漆粉末，应有较强的抗氧化、抗紫外线能力，不褪色、附着力强、光泽度高、不含毒素，能适应潮湿和酸雨环境，不会出现脱落、锈蚀等现象。整体结构稳固，安全性好</t>
  </si>
  <si>
    <t>排球网</t>
  </si>
  <si>
    <t>排球网长度9500mm～10000mm，宽度700mm±25mm，Pe合股网绳，穿钢丝绳</t>
  </si>
  <si>
    <t>儿童足球</t>
  </si>
  <si>
    <t>规格：3号亮面机缝足球，重量：300-340克，圆周：560-570毫米，球压标准：6-8磅，皮革材质：TPU皮革，内胆材质：高档比赛级内胆，足球构造：内胆，皮革两层，适用场地：室内室外通用，足球级别：训练比赛用球，足球特点：脚感好，耐磨，弹性极佳</t>
  </si>
  <si>
    <t>少年足球</t>
  </si>
  <si>
    <t>规格：4号亮面机缝足球，重量：350-400克，圆周：620-640毫米，球压标准：6-8磅，皮革材质：TPU皮革，内胆材质：高档比赛级内胆，足球构造：内胆，皮革两层，适用场地：室内室外通用，足球级别：训练比赛用球，足球特点：脚感好，耐磨，弹性极佳</t>
  </si>
  <si>
    <t>乒乓球</t>
  </si>
  <si>
    <t>直径43.4mm～44.4mm，质量2.20g～2.60g，弹跳220mm～250mm，圆度0.4mm，受冲击不小于700次无破裂。</t>
  </si>
  <si>
    <t>乒乓球拍</t>
  </si>
  <si>
    <t>用来击球的拍面应用一层齿粒向外的胶粒片覆盖，连同粘合剂，厚度应不超过2mm，或者用齿粒向内或向外的海绵胶粒片覆盖，连同粘合剂，厚度应不超过4mm。底板与胶粒片或海绵胶粒片的粘接结合力应≥4N</t>
  </si>
  <si>
    <t>乒乓球台</t>
  </si>
  <si>
    <t>室内专用，台面:2740*1525mm.台高: 760mm ，标配配顶丝球网（标准通用）球台腿采用40*40mm方管外脚，台脚装脚轮.边框20*40mm.台面采用高密度纤维板厚度15mm.轮子直径75mm</t>
  </si>
  <si>
    <t>羽毛球</t>
  </si>
  <si>
    <t>球口外径65mm～68mm，球头直径25mm～27mm，球头高度24mm～26mm，毛片插长63mm～64mm，质量4.50g～5.80g，毛片数量16片</t>
  </si>
  <si>
    <t>羽毛球拍</t>
  </si>
  <si>
    <t>1、铝合金一体，尼龙球网；
2、长度≤660mm，球拍上宽度≤200mm，球拍弦面长度≤245mm；
3、整体重量：95-120g；
4、拍弦直径：0.9mm；
5、手柄长150mm，握柄直径25mm
6、拍身表面光滑，拍上贴标签，印刷图案应文字清楚，粘贴平整。</t>
  </si>
  <si>
    <t>羽毛球网柱</t>
  </si>
  <si>
    <t>1．移动式。底座外形尺寸：400*300*170MM，石子配重90KG，底部配有滚轮，移动静音，使用方便，室内室外通用。
2.柱高1550MM，使用￠42钢管，壁厚2.5MM,支架顶部加一滑动滚轮，缓冲拉绳与支架间的摩擦，同时更好的操控球网的长度和高度。配有电镀铸铁轮，金属紧线器，带卡轮，金属摇把，轻轻摇动即可拉紧绳网，不会松动。内侧对称配有相应高度的球网挂钩，用来固定羽毛球网。
3．外表面采用静电粉末喷塑工艺，涂饰层附着力应达到一级，硬度达到2H、有一定的耐冲击性能，表面无皱纹、无漏喷、起泡、脱皮及明显的划痕等缺陷。喷涂前必须采取除锈处理，以确保涂层在户外长期使用。产品涂料配方不应含有毒元素。
4.各部件焊接应严密牢固，不应有漏焊、虚焊、裂纹等缺陷。</t>
  </si>
  <si>
    <t>羽毛球网</t>
  </si>
  <si>
    <t>羽毛球网长度≥6100mm，宽度760mm±25mm，包边，钢丝绳，抗老化</t>
  </si>
  <si>
    <t>网球</t>
  </si>
  <si>
    <t>质量46.0g～53.0g，直径62mm～68.58mm，弹性1100mm～1400mm</t>
  </si>
  <si>
    <t>网球拍</t>
  </si>
  <si>
    <t>1、铝合金分体，尼龙球网；
2．外观：球拍的击球面平坦，由连接在球拍框上的拍弦组成统一规则，拍弦在交叉的地方相互交织或相互结合的； 
3、总长度≤585mm，球拍上宽度≤260mm，球拍弦面长度≤330mm；
4、手柄长150mm，握柄直径30mm
5、拍身表面光滑，拍上贴标签，印刷图案应文字清楚，粘贴平整。</t>
  </si>
  <si>
    <t>网球网柱</t>
  </si>
  <si>
    <t>1、材质为ABS，移动式，
2、零部件全部采用金属结构件，立柱为80*80mm方管，壁厚3.0mm，立柱高1070mm，柱体后部装有紧绳器；配重箱外形尺寸：900*460*210Mm。重量为320kg。
3、立柱配有安全保护帽
4、金属外表面均经酸洗、脱脂、磷化等初步处理后再打沙处理，并采用室外专用优质烤漆粉末，应有较强的抗氧化、抗紫外线能力，不褪色、附着力强、光泽度高、不含毒素，能适应潮湿和酸雨环境，不会出现脱落、锈蚀等现象。整体结构稳固，安全性好
5.外包装采用木箱包装，结实牢固，运输方便</t>
  </si>
  <si>
    <t>板羽球</t>
  </si>
  <si>
    <t>材质：羽毛乳胶，长度10-12厘米，球重4-6g，高约14cm，球头高2cm，直径1.4cm，3根羽毛。</t>
  </si>
  <si>
    <t>板羽球拍</t>
  </si>
  <si>
    <t>球拍为木制，总长度320mm，宽度175mm，手柄长约110mm，宽27-35mm，质量≤80g。</t>
  </si>
  <si>
    <t>垒球</t>
  </si>
  <si>
    <t>圆周长200mm±10mm,质量80g±5g，1000mm高度自由落体落下，回弹高度应不小于300mm</t>
  </si>
  <si>
    <t>毽球</t>
  </si>
  <si>
    <t>1．毽子高12cm左右。2．毽垫直径36-40mm，底部为橡胶制弹性底垫。3．毽毛为四根经处理的鹅毛组成，毽毛色彩鲜艳，符合学生心理特点。</t>
  </si>
  <si>
    <t>装球车</t>
  </si>
  <si>
    <t>可装18个球，68*78*60cm，2*2cm方管，可折叠，带轮可移动。四角为直角，用于装篮球、排球、足球等球类物品，球车四角为圆角。</t>
  </si>
  <si>
    <t>辆</t>
  </si>
  <si>
    <t>棍</t>
  </si>
  <si>
    <t>木制品，长度1800mm，φ20-30mm，材质：白蜡杆。</t>
  </si>
  <si>
    <t>剑</t>
  </si>
  <si>
    <t>木制品，长92cm宽2.8cm，柄长17cm，宽3cm，有防滑布</t>
  </si>
  <si>
    <t>长80cm宽6cm，柄长14cm，宽3cm，有防滑布</t>
  </si>
  <si>
    <t>跳绳</t>
  </si>
  <si>
    <t>短跳绳，绳长度2600mm～2800mm，直径5mm.塑料手柄，带计数功能，手柄长度为100-120mm，直径18mm～28mm。绳材质为pvc不透明磨砂材料制成</t>
  </si>
  <si>
    <t>跳绳的绳和柄应采用无毒、环保、适宜的材料制成。绳长5000mm,直径φ8mm-φ9mm。柄长120mm～140mm,直径φ26mm-φ33mm（木质手柄）。</t>
  </si>
  <si>
    <t>拔河绳</t>
  </si>
  <si>
    <t>1．拔河绳应用麻绳多股绞合而成。2．绳长约30m，直径φ30mm；3．绳的两端结孔，绳的质地无霉变、腐朽、虫咬等缺陷。</t>
  </si>
  <si>
    <t>塑料圈(呼啦圈)</t>
  </si>
  <si>
    <t>1．钢制内管，外套泡沫，直径40mm。环保塑料制品。2．外径规格为800mm。</t>
  </si>
  <si>
    <t>小沙包</t>
  </si>
  <si>
    <t>尺寸：30*30*30mm帆布，重量常规约50-70克，180克左右。</t>
  </si>
  <si>
    <t>空竹</t>
  </si>
  <si>
    <t>PE材质，色彩鲜艳，带杆。</t>
  </si>
  <si>
    <t>铁环</t>
  </si>
  <si>
    <t>铁杆长60cm，直径3mm，手柄长9cm，直径15-20mm，圈外径37cm，直径3mm</t>
  </si>
  <si>
    <t>陀螺</t>
  </si>
  <si>
    <r>
      <rPr>
        <sz val="9"/>
        <rFont val="宋体"/>
        <charset val="134"/>
      </rPr>
      <t>材质为木质，陀螺底部带钢珠，配手持鞭</t>
    </r>
    <r>
      <rPr>
        <sz val="9"/>
        <color indexed="10"/>
        <rFont val="宋体"/>
        <charset val="134"/>
      </rPr>
      <t>。</t>
    </r>
  </si>
  <si>
    <t>软式飞盘</t>
  </si>
  <si>
    <t>采用硅胶制作,柔软易折叠。</t>
  </si>
  <si>
    <t>橡皮拉力带</t>
  </si>
  <si>
    <t>拉力带采用合成橡胶TPE制作，环保，无味，弹性好，强度高，不易断裂，不易老化</t>
  </si>
  <si>
    <t>木哑铃</t>
  </si>
  <si>
    <t>长18.5cm，握手长8cm，直径2cm，两头直径4cm，木质，红色，外表光滑，无毛刺，两只一副，无味环保，表面色彩艳丽，有利于激励学生兴趣。</t>
  </si>
  <si>
    <t>体育教学挂图</t>
  </si>
  <si>
    <t>适用于小学教学用，30幅，纸张尺寸：520*720mm。</t>
  </si>
  <si>
    <t>广播体操教学挂图</t>
  </si>
  <si>
    <t>适用于小学体操教学用，纸张尺寸：480*700mm。</t>
  </si>
  <si>
    <t>多媒体教学软件</t>
  </si>
  <si>
    <t>符合教学标准</t>
  </si>
  <si>
    <t>多媒体教学光盘</t>
  </si>
  <si>
    <t>图书、手册</t>
  </si>
  <si>
    <t>册</t>
  </si>
  <si>
    <t>汝南县其它学校其增补项目报价明细表</t>
  </si>
  <si>
    <t>款式图片</t>
  </si>
  <si>
    <t>规格</t>
  </si>
  <si>
    <t>课桌凳</t>
  </si>
  <si>
    <t>课桌：
625*435*（660-780）
课凳：
350*250*（380-440）</t>
  </si>
  <si>
    <t>1.桌面板材质采用全新环保ABS耐冲击塑料一级新料一体射出成型，耐冲击强度：必须承受10磅榔头重力锤击不得破损；表面得需有细纹咬花，不得有反射现象；桌面符合GB/T40169-2021《超高分子量聚乙烯(PE-UHMW)和高密度聚乙烯(PE-HD)模塑板材》、GB28481-2012《塑料家具中有害物质限量》标准要求，简支梁冲击≥10KJ/m²；重金属含量可溶性镉（Cd）、可溶性铬（Cr）、可溶性铅（Pb）、可溶性汞（Hg）均未检出；
2.桌面420mm*600mm*30mm±5mm靠胸前处有一内弧造型设计；面板上有笔槽及水杯槽设计，面板前侧及左右前侧有一体成型防滑凸条设计；
3.桌架：上升降管采用≥20mm*50mm*1.2mm的椭圆管；下立管为≥30mm*60mm*1.2mm的椭圆管；两腿间拉撑、托斗弯管采用≥20mm*40mm*1.2mm椭圆管；圆管符合GB/T3325-2017《金属家具通用技术条件》标准要求，金属件外观：管材无裂缝、叠缝，外漏管口端面应封闭；喷涂层无漏喷、锈蚀和脱色、掉色现象，涂层光滑均匀、色泽一致，无流挂、疙瘩皱皮、飞漆等缺陷；金属喷塑涂层理化性能：耐腐蚀100h内，溶液中样板上划道两侧3mm以外，应无鼓包产生；100h后，划道两侧3mm外，应无锈迹、剥落、起皱、变色和失光现象；附着力应不低于2级； 冲击强度应无剥落、裂皱、皱纹；
4.地脚采用≥30mm*60mm*1.2mm椭圆管,地脚套采用全新软塑料注塑成型，优质钢管插接螺丝调节升降结构，升降部位为中间套长度≥55mm隐藏式连接，升降顺滑，无卡顿、松旷等现象；课桌椅塑料脚套：符合GB28481-2012《塑料家具中有害物质限量》标准要求；重金属含量可溶性镉（Cd）≤0.6mg/kg、可溶性铬（Cr）≤0.6mg/kg、可溶性铅（Pb）≤6mg/kg、可溶性汞（Hg）≤0.06mg/kg；邻苯二甲酸酯（DBP、BBP、DEHP、DINP、DNOP、DIDP）≤0.1%；多环芳烃-苯并a芘≤1.0mg/kg；多环芳烃-16种多环芳烃（PAH）总量≤10mg/kg；
5.桌斗：采用环保PP塑料一级新料一体射出成型，不得采用回收料再生产;桌斗规格：外径尺寸610mm*420mm*150mm，内径尺寸450mm*370mm*140m;桌斗向后端倾斜1-2度之设计，可防止书本、文具向前滑落,槽缝功能是在擦洗底部时宜通风干燥;桌斗外侧凸台流
线设计，四角半圆弧设计不得有棱角；
6. 课桌整体规格为625mm×435 mm×（660-780）mm；
7. 所有金属部件均为二氧化碳气体保护焊焊接，管材和冲压件无裂缝、焊接无错位和结疤，焊接处无夹渣、气孔、焊瘤、焊丝头、咬边和飞溅，在接触人体和收藏物的部位光滑平整、无毛刺、无刃口棱角；表面经高温静电喷粉工艺处理，喷涂粉末符合GB/T3325-2017《金属家具通用技术条件》、HG/T2006-2006《热固性粉末涂料》；漆膜硬度≥H；光泽（60°）≥30；硬度（擦伤）≥H，杯突≥6mm；耐盐雾性500h划线处:单向锈蚀＜2.0mm，未划线区:无异常；重金属含量可溶性镉（Cd）≤0.5mg/kg、可溶性铬（Cr）≤0.5mg/kg、可溶性铅（Pb）≤6mg/kg、可溶性汞（Hg）≤0.06mg/kg；
8.方凳凳面材质采用采用全新环保PP塑料一级新料一体射出成型.外观平整，线条流畅，四角圆弧光滑无毛刺，材质环保耐用，易于清洗；凳面颜色可选色，尺寸为350 mm×250 mm ×30 mm.椅座：符合GB28481-2012《塑料家具中有害物质限量》、QB/T4071-2021《课桌椅》标准要求，塑料件理化性能耐老化性能170h（外观颜色变色评级）≥4级，有害物质限量重金属-可溶性铅、可溶性镉、可溶性铬、可溶性汞未检出，多溴联苯、多溴二苯醚、多环芳烃-苯并a芘≤1.0；多环芳烃-16种多环芳烃（PAH）总量未检出；
9.方凳:350mm*250mm*（380-440）mm,上升降管采用≥20mm*50mm*1.2mm的椭圆管；下立管为≥30mm*60mm*1.2mm的椭圆管；两腿间拉撑采用≥20mm*40mm*1.2mm椭圆管,托面撑采用≥20mm*20mm*1.0mm方管；
10.地脚采用≥30mm*60mm*1.2mm椭圆管,地脚套采用全新软塑料注塑成型，优质钢管插接螺丝调节升降结构，升降部位为中间套长度≥55mm隐藏式连接，升降顺滑，卡顿、松旷等现象；底脚：符合GB/T28481-2012《塑料家具中有害物质限量》标准要求，重金属含量可溶性镉（Cd）≤0.6mg/kg、可溶性铬（Cr）≤0.6mg/kg、可溶性铅（Pb）≤6mg/kg、可溶性汞（Hg）≤0.06mg/kg；
11.所有金属部件均为二氧化碳气体保护焊焊接，管材和冲压件无裂缝、焊接无错位和结疤，焊接处无夹渣、气孔、焊瘤、焊丝头、
咬边和飞溅，在接触人体和收藏物的部位光滑平整、无毛刺、无刃口棱角；课桌椅符合GB/T3325-2017《金属家具通用技术条件》、GB/T35607-2017《绿色产品评价家具》标准要求；金属件外观：管材、焊接件、冲压件、喷涂层符合国家检测标准要求；木制件表面贴面层理化性能：耐干热、耐湿热、耐污染性能≥5级；金属喷塑涂层理化性能：硬度≥2H，耐腐蚀100h内无气泡产生，附着力≥2级；重金属含量：可溶性镉（Cd）≤6mg/kg、可溶性铬（Cr）≤6mg/kg、可溶性铅（Pb）≤6 mg/kg、可溶性汞（Hg）≤6mg/kg；挥发性有机化合物：苯＜0.05μg/m³、甲苯＜0.1μg/m³、二甲苯＜0.1μg/m³、总挥发有机物（TVOC）＜0.5μg/m³；涂层可迁移元素：铅Pb、镉Cd、铬Cr、汞Hg、锑Sb、钡Ba、硒Se、砷AS≤8mg/kg;甲醛释放量≤0.05mg/m³。</t>
  </si>
  <si>
    <t>金铺初中=1500套
五小=1000套
县三中=3000套
实验小学=300套
县一中=500套</t>
  </si>
  <si>
    <t>午休课桌椅</t>
  </si>
  <si>
    <t>桌子：
600*400*750
椅子：
550*462*985</t>
  </si>
  <si>
    <t>1. 采用全新PP耐冲击塑料一体注塑成型，内嵌2颗六厘预埋螺。
2. 椅子头枕根据青少年头部曲线设计椅，保证午睡时头部得到完美支撑，能快速进入睡眠状态。
3. 靠背根据青少年脊椎曲线设计椅，保证背脊及两侧肌肉得到完美支撑，能有效降低疲劳。套入背架后锁入4颗自攻螺丝固定。背板及座板采用方形镂空透气孔设计，保持通风干爽，久靠舒适。
4. 钢架采用冷轧钢管焊接而成，钢管架焊接部位牢固，无脱焊、虚焊、焊 穿，焊缝均匀，无毛刺、锐棱、飞溅、裂纹等缺陷。</t>
  </si>
  <si>
    <t>汝师附小=1000套</t>
  </si>
  <si>
    <t>电风扇
（壁扇）</t>
  </si>
  <si>
    <t>直径450mm</t>
  </si>
  <si>
    <t>1、风量档位：三档调速
2、额定电压：220V
3、操作类型：机械式
4、交流频率：50Hz
5、额定功率：60W</t>
  </si>
  <si>
    <t>汝师附小=96台</t>
  </si>
  <si>
    <t>电路改造及布线</t>
  </si>
  <si>
    <t>在原有4平方的主线上再接1.5平方的双线及电源插座，每个教室6台，每台用线8至10米不等，此项报价含原材料及施工。</t>
  </si>
  <si>
    <t>学生机房
电脑
（台式电脑）</t>
  </si>
  <si>
    <t>23.8英寸的显示器</t>
  </si>
  <si>
    <t>机型：国产台式计算机
1、机箱≥13L，配置≥1 颗国产CPU，处理器采用板载设计，每颗 CPU 物理 核心数≥ 8 核，线程数量≥8 ,每 颗 CPU 主 频 ≥ 2.7GHz，每颗 CPU 三级缓存≥8MB；
2、内存：容量≥8GB；频率≥2666Mhz；
3、硬盘： ≥512G M.2 NVme SSD；
4、网卡：≥1个 LAN 1000M；
5、显卡：独立显卡，显存≥2GB；
6、电源：功率≤180W ，单路电源，电源通过80PLUS认证，提供证明或出货电源铭牌照片；
7、声卡：集成5.1声道声卡；
8、接口： 前置USB3.0接口≥4个，采用可抽拉式防尘盖板设计；后置USB3.0接口≥2个， USB2.0≥2个；
9、机箱尺寸≥18L；自带顶置提手,整机支持免工具拆卸；
10、整机通过CCC认证、节能认证、环境认证；噪声声功率集≤1.84Bel(A),噪声声压级≤11.65dB（A）； 
11、显示器：≥同品牌23.8英寸的显示器，VGA HDMI 双接口，标配HDMI线缆，分辨率不低于1920*1080；
12、服务资质：原厂3年整机保修，3年上门服务，整机交付时包含原厂门到桌安装服务；
13、系统恢复功能：整机出厂标配BIOS级备份恢复功能；在OS无法运行，所在分区被破坏的情况下，通过BIOS仍能启动恢复功能实现OS恢复；可按需恢复到用户的任意备份点；
14、端口安全：整机配置BIOS级USB屏蔽功能，USB支持BIOS下全部接口一键开关、全部接口一键只读、前后置USB口分组开关、前后置USB口分组只读、USB口逐个开关、USB口逐个只读；</t>
  </si>
  <si>
    <r>
      <rPr>
        <sz val="11"/>
        <color theme="1"/>
        <rFont val="宋体"/>
        <charset val="134"/>
        <scheme val="minor"/>
      </rPr>
      <t xml:space="preserve">五小学生机房用=50台
王岗二中教师用=30台
实验小学=20台
县一中=16台
</t>
    </r>
    <r>
      <rPr>
        <sz val="11"/>
        <color rgb="FFFF0000"/>
        <rFont val="宋体"/>
        <charset val="134"/>
        <scheme val="minor"/>
      </rPr>
      <t>韩庄初中=20台</t>
    </r>
  </si>
  <si>
    <t xml:space="preserve">
笔记本电脑</t>
  </si>
  <si>
    <t>屏幕尺寸≤14寸</t>
  </si>
  <si>
    <t xml:space="preserve">机型：国产便携式计算机
1、处理器：≥1颗国产兆芯处理器；核数≥8核；主频≥2.7Ghz；
2、内存：容量≥16GB 频率≥2666Mhz,支持双内存插槽；
3、硬盘： ≥512 GB M.2 NVME SSD；
4、无线通信：≥1个WIFI6无线网卡；≥1个蓝牙5.0模块；
5、显卡：集成显卡；支持4K视频播放；
6、显示屏：屏幕尺寸≤14寸，分辨率最高支持≥2240*1400，屏占比≥91%，支持≥180度开合；支持100% sRGB高色域；
7、电源：采用最新Type-C规格接口供电；电池容量≥61WH；
8、声卡：集成声卡；
9、摄像头：≥720P分辨率；支持物理遮挡；
10、左侧接口：Type-C≥2，支持数据传输、充电、转接RJ45功能；HDMI接口≥1；右侧接口：USB3.0≥1、耳机/麦克风二合一接口≥1；
11轻便化设计：重量≤1.29KG（不含包装）；厚度≤14.6mm；
12、键盘：智能光感背光键盘，两段回弹功能；
13安全识别：整机标配指纹模块≥1；
14、产品认证：整机通过3C、节能认证，并提供对应证书复印件证明； 
</t>
  </si>
  <si>
    <t>县四中</t>
  </si>
  <si>
    <t>床板</t>
  </si>
  <si>
    <t>1800*820*12</t>
  </si>
  <si>
    <t>多层板床铺板</t>
  </si>
  <si>
    <t>王岗二中=60块</t>
  </si>
  <si>
    <t>智能教学
一体机</t>
  </si>
  <si>
    <t>同刘屯学校教室
（智能教学一体机）</t>
  </si>
  <si>
    <t>同刘屯学校教室（智能教学一体机）</t>
  </si>
  <si>
    <r>
      <rPr>
        <sz val="11"/>
        <color theme="1"/>
        <rFont val="宋体"/>
        <charset val="134"/>
        <scheme val="minor"/>
      </rPr>
      <t xml:space="preserve">汝师附小=22套
张楼中心校=13套
三桥中心校=10套
老君庙中心小学=10套
常兴中心小学=10套
留盆中心小学=10套
实验小学=10套
韩庄中心小学=10套
付楼小学=8套
</t>
    </r>
    <r>
      <rPr>
        <sz val="11"/>
        <rFont val="宋体"/>
        <charset val="134"/>
        <scheme val="minor"/>
      </rPr>
      <t>县三中=5套
常兴二中=3套
大冀小学=8套
罗店初中=10套</t>
    </r>
  </si>
  <si>
    <t>办公桌</t>
  </si>
  <si>
    <t>1400*700*750</t>
  </si>
  <si>
    <t>汝师附小=30张
县三中 =150张
实验小学=20张
韩庄中心小学=20张
付楼小学=10张</t>
  </si>
  <si>
    <t>常规</t>
  </si>
  <si>
    <t>汝师附小=30把
县三中 =150把
实验小学=20把
韩庄中心小学=20把
付楼小学=10把</t>
  </si>
  <si>
    <t>学生餐桌</t>
  </si>
  <si>
    <t>1200*700*760</t>
  </si>
  <si>
    <t>201不锈钢餐桌，标厚1.05mm，激光焊接工艺，桌面圆角打磨，配防滑脚垫。</t>
  </si>
  <si>
    <t>三门闸七小=200张
官庄中心小学=70张</t>
  </si>
  <si>
    <t>学生餐椅</t>
  </si>
  <si>
    <r>
      <rPr>
        <sz val="14"/>
        <color theme="1"/>
        <rFont val="宋体"/>
        <charset val="134"/>
        <scheme val="minor"/>
      </rPr>
      <t>∅</t>
    </r>
    <r>
      <rPr>
        <sz val="11"/>
        <color theme="1"/>
        <rFont val="宋体"/>
        <charset val="134"/>
        <scheme val="minor"/>
      </rPr>
      <t>300*420</t>
    </r>
  </si>
  <si>
    <t>无缝圆管激光焊接工艺，凳面ABS注塑，配防滑脚垫。</t>
  </si>
  <si>
    <t>三门闸七小=800把
官庄中心小学=280把</t>
  </si>
  <si>
    <t>空调
（72挂机）</t>
  </si>
  <si>
    <t>3匹挂机</t>
  </si>
  <si>
    <t>1、规格：3匹挂机；
2、定频/变频:变频；
3、能效等级:1；
4、制冷量(W):≥7300；
5、制热量(W):≥9000；
6、额定电压/频率：220V～/50Hz。</t>
  </si>
  <si>
    <t>常兴二中=22台
韩庄初中=10台</t>
  </si>
  <si>
    <t>饮水机</t>
  </si>
  <si>
    <t>35L一开五温</t>
  </si>
  <si>
    <t>1:水胆容量：35L
2：额定功率：6KW
3:电源电压：380V3+N-50Hz
4:供应水量：开水60L/H;温水350L/H
5:外形尺寸：1860*450*1110mm
6：出水龙头：一开水五温水
7：使用人数：约200人
8：过滤系统：可内置PP棉+颗粒碳+压缩碳或五星RO反渗透+11G桶</t>
  </si>
  <si>
    <t>常兴二中=3台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</si>
</sst>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804]General"/>
    <numFmt numFmtId="177" formatCode="0_ "/>
    <numFmt numFmtId="178" formatCode="[DBNum2][$RMB]General;[Red][DBNum2][$RMB]General"/>
  </numFmts>
  <fonts count="64">
    <font>
      <sz val="11"/>
      <color theme="1"/>
      <name val="宋体"/>
      <charset val="134"/>
      <scheme val="minor"/>
    </font>
    <font>
      <b/>
      <sz val="14"/>
      <color theme="1"/>
      <name val="宋体"/>
      <charset val="134"/>
      <scheme val="minor"/>
    </font>
    <font>
      <b/>
      <sz val="11"/>
      <color theme="1"/>
      <name val="宋体"/>
      <charset val="134"/>
      <scheme val="minor"/>
    </font>
    <font>
      <sz val="9"/>
      <color theme="1"/>
      <name val="宋体"/>
      <charset val="134"/>
    </font>
    <font>
      <sz val="10"/>
      <color theme="1"/>
      <name val="宋体"/>
      <charset val="134"/>
      <scheme val="minor"/>
    </font>
    <font>
      <sz val="9"/>
      <color theme="1"/>
      <name val="宋体"/>
      <charset val="134"/>
      <scheme val="minor"/>
    </font>
    <font>
      <sz val="10"/>
      <name val="宋体"/>
      <charset val="134"/>
    </font>
    <font>
      <sz val="9"/>
      <name val="宋体"/>
      <charset val="134"/>
      <scheme val="minor"/>
    </font>
    <font>
      <sz val="11"/>
      <name val="宋体"/>
      <charset val="134"/>
    </font>
    <font>
      <sz val="9"/>
      <name val="宋体"/>
      <charset val="134"/>
    </font>
    <font>
      <sz val="11"/>
      <color rgb="FFFF0000"/>
      <name val="宋体"/>
      <charset val="134"/>
      <scheme val="minor"/>
    </font>
    <font>
      <sz val="14"/>
      <color theme="1"/>
      <name val="宋体"/>
      <charset val="134"/>
      <scheme val="minor"/>
    </font>
    <font>
      <sz val="8"/>
      <color theme="1"/>
      <name val="宋体"/>
      <charset val="134"/>
    </font>
    <font>
      <b/>
      <sz val="14"/>
      <name val="宋体"/>
      <charset val="134"/>
    </font>
    <font>
      <b/>
      <sz val="9"/>
      <name val="宋体"/>
      <charset val="134"/>
    </font>
    <font>
      <b/>
      <sz val="12"/>
      <name val="宋体"/>
      <charset val="134"/>
    </font>
    <font>
      <b/>
      <sz val="11"/>
      <name val="宋体"/>
      <charset val="134"/>
    </font>
    <font>
      <b/>
      <sz val="12"/>
      <color theme="1"/>
      <name val="宋体"/>
      <charset val="134"/>
    </font>
    <font>
      <sz val="11"/>
      <color theme="1"/>
      <name val="微软雅黑"/>
      <charset val="134"/>
    </font>
    <font>
      <b/>
      <sz val="14"/>
      <color theme="1"/>
      <name val="微软雅黑"/>
      <charset val="134"/>
    </font>
    <font>
      <b/>
      <sz val="11"/>
      <color theme="1"/>
      <name val="微软雅黑"/>
      <charset val="134"/>
    </font>
    <font>
      <sz val="9"/>
      <color theme="1"/>
      <name val="微软雅黑"/>
      <charset val="134"/>
    </font>
    <font>
      <sz val="11"/>
      <color theme="1"/>
      <name val="Tahoma"/>
      <charset val="134"/>
    </font>
    <font>
      <sz val="10"/>
      <color theme="1"/>
      <name val="微软雅黑"/>
      <charset val="134"/>
    </font>
    <font>
      <sz val="12"/>
      <color theme="1"/>
      <name val="微软雅黑"/>
      <charset val="134"/>
    </font>
    <font>
      <b/>
      <sz val="9"/>
      <color theme="1"/>
      <name val="微软雅黑"/>
      <charset val="134"/>
    </font>
    <font>
      <sz val="10"/>
      <color theme="1"/>
      <name val="宋体"/>
      <charset val="134"/>
    </font>
    <font>
      <b/>
      <sz val="10"/>
      <color theme="1"/>
      <name val="宋体"/>
      <charset val="134"/>
    </font>
    <font>
      <b/>
      <sz val="10"/>
      <name val="宋体"/>
      <charset val="134"/>
    </font>
    <font>
      <b/>
      <sz val="10"/>
      <color theme="1"/>
      <name val="宋体"/>
      <charset val="134"/>
      <scheme val="minor"/>
    </font>
    <font>
      <b/>
      <sz val="14"/>
      <color theme="1"/>
      <name val="华文细黑"/>
      <charset val="134"/>
    </font>
    <font>
      <b/>
      <sz val="11"/>
      <name val="微软雅黑"/>
      <charset val="134"/>
    </font>
    <font>
      <sz val="9"/>
      <name val="微软雅黑"/>
      <charset val="134"/>
    </font>
    <font>
      <b/>
      <sz val="20"/>
      <name val="宋体"/>
      <charset val="134"/>
    </font>
    <font>
      <sz val="20"/>
      <name val="宋体"/>
      <charset val="134"/>
    </font>
    <font>
      <b/>
      <sz val="10"/>
      <color theme="1"/>
      <name val="微软雅黑"/>
      <charset val="134"/>
    </font>
    <font>
      <b/>
      <sz val="16"/>
      <color theme="1"/>
      <name val="微软雅黑"/>
      <charset val="134"/>
    </font>
    <font>
      <b/>
      <sz val="12"/>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宋体"/>
      <charset val="134"/>
    </font>
    <font>
      <sz val="11"/>
      <color indexed="8"/>
      <name val="宋体"/>
      <charset val="134"/>
    </font>
    <font>
      <sz val="15"/>
      <color indexed="8"/>
      <name val="Times"/>
      <charset val="134"/>
    </font>
    <font>
      <sz val="11"/>
      <name val="宋体"/>
      <charset val="134"/>
      <scheme val="minor"/>
    </font>
    <font>
      <sz val="9"/>
      <name val="Times New Roman"/>
      <charset val="134"/>
    </font>
    <font>
      <sz val="9"/>
      <color indexed="10"/>
      <name val="宋体"/>
      <charset val="134"/>
    </font>
  </fonts>
  <fills count="37">
    <fill>
      <patternFill patternType="none"/>
    </fill>
    <fill>
      <patternFill patternType="gray125"/>
    </fill>
    <fill>
      <patternFill patternType="solid">
        <fgColor theme="0"/>
        <bgColor indexed="64"/>
      </patternFill>
    </fill>
    <fill>
      <patternFill patternType="solid">
        <fgColor theme="0"/>
        <bgColor indexed="1"/>
      </patternFill>
    </fill>
    <fill>
      <patternFill patternType="solid">
        <fgColor indexed="9"/>
        <bgColor indexed="1"/>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6" borderId="12"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3" applyNumberFormat="0" applyFill="0" applyAlignment="0" applyProtection="0">
      <alignment vertical="center"/>
    </xf>
    <xf numFmtId="0" fontId="44" fillId="0" borderId="13" applyNumberFormat="0" applyFill="0" applyAlignment="0" applyProtection="0">
      <alignment vertical="center"/>
    </xf>
    <xf numFmtId="0" fontId="45" fillId="0" borderId="14" applyNumberFormat="0" applyFill="0" applyAlignment="0" applyProtection="0">
      <alignment vertical="center"/>
    </xf>
    <xf numFmtId="0" fontId="45" fillId="0" borderId="0" applyNumberFormat="0" applyFill="0" applyBorder="0" applyAlignment="0" applyProtection="0">
      <alignment vertical="center"/>
    </xf>
    <xf numFmtId="0" fontId="46" fillId="7" borderId="15" applyNumberFormat="0" applyAlignment="0" applyProtection="0">
      <alignment vertical="center"/>
    </xf>
    <xf numFmtId="0" fontId="47" fillId="8" borderId="16" applyNumberFormat="0" applyAlignment="0" applyProtection="0">
      <alignment vertical="center"/>
    </xf>
    <xf numFmtId="0" fontId="48" fillId="8" borderId="15" applyNumberFormat="0" applyAlignment="0" applyProtection="0">
      <alignment vertical="center"/>
    </xf>
    <xf numFmtId="0" fontId="49" fillId="9" borderId="17" applyNumberFormat="0" applyAlignment="0" applyProtection="0">
      <alignment vertical="center"/>
    </xf>
    <xf numFmtId="0" fontId="50" fillId="0" borderId="18" applyNumberFormat="0" applyFill="0" applyAlignment="0" applyProtection="0">
      <alignment vertical="center"/>
    </xf>
    <xf numFmtId="0" fontId="51" fillId="0" borderId="19" applyNumberFormat="0" applyFill="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4"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xf numFmtId="0" fontId="55" fillId="33" borderId="0" applyNumberFormat="0" applyBorder="0" applyAlignment="0" applyProtection="0">
      <alignment vertical="center"/>
    </xf>
    <xf numFmtId="0" fontId="56" fillId="34" borderId="0" applyNumberFormat="0" applyBorder="0" applyAlignment="0" applyProtection="0">
      <alignment vertical="center"/>
    </xf>
    <xf numFmtId="0" fontId="56" fillId="35" borderId="0" applyNumberFormat="0" applyBorder="0" applyAlignment="0" applyProtection="0">
      <alignment vertical="center"/>
    </xf>
    <xf numFmtId="0" fontId="55" fillId="36" borderId="0" applyNumberFormat="0" applyBorder="0" applyAlignment="0" applyProtection="0">
      <alignment vertical="center"/>
    </xf>
    <xf numFmtId="0" fontId="5" fillId="0" borderId="0"/>
    <xf numFmtId="0" fontId="22" fillId="0" borderId="0"/>
    <xf numFmtId="0" fontId="0" fillId="0" borderId="0">
      <alignment vertical="center"/>
    </xf>
    <xf numFmtId="0" fontId="0" fillId="0" borderId="0"/>
    <xf numFmtId="0" fontId="57" fillId="0" borderId="0">
      <alignment vertical="center"/>
    </xf>
    <xf numFmtId="0" fontId="58" fillId="0" borderId="0"/>
    <xf numFmtId="0" fontId="58" fillId="0" borderId="0"/>
    <xf numFmtId="0" fontId="58" fillId="0" borderId="0"/>
    <xf numFmtId="0" fontId="59" fillId="0" borderId="0">
      <alignment vertical="center"/>
    </xf>
    <xf numFmtId="0" fontId="59" fillId="0" borderId="0">
      <alignment vertical="center"/>
    </xf>
    <xf numFmtId="0" fontId="59" fillId="0" borderId="0">
      <alignment vertical="center"/>
    </xf>
    <xf numFmtId="176" fontId="0" fillId="0" borderId="0"/>
    <xf numFmtId="176" fontId="59" fillId="0" borderId="0">
      <alignment vertical="center"/>
    </xf>
    <xf numFmtId="176" fontId="58" fillId="0" borderId="0">
      <alignment vertical="center"/>
    </xf>
    <xf numFmtId="0" fontId="58" fillId="0" borderId="0">
      <alignment vertical="center"/>
    </xf>
    <xf numFmtId="0" fontId="60" fillId="0" borderId="0" applyNumberFormat="0" applyFill="0" applyBorder="0" applyProtection="0">
      <alignment vertical="top" wrapText="1"/>
    </xf>
    <xf numFmtId="0" fontId="58" fillId="0" borderId="0"/>
    <xf numFmtId="0" fontId="58" fillId="0" borderId="0"/>
  </cellStyleXfs>
  <cellXfs count="246">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49"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0" fillId="0" borderId="1" xfId="0" applyFill="1" applyBorder="1" applyAlignment="1">
      <alignment horizontal="left" vertical="center"/>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xf>
    <xf numFmtId="0" fontId="4" fillId="0" borderId="4" xfId="0" applyNumberFormat="1" applyFont="1" applyFill="1" applyBorder="1" applyAlignment="1">
      <alignment horizontal="left" vertical="center" wrapText="1"/>
    </xf>
    <xf numFmtId="0" fontId="0" fillId="0" borderId="5" xfId="0" applyFill="1" applyBorder="1" applyAlignment="1">
      <alignment horizontal="center" vertical="center"/>
    </xf>
    <xf numFmtId="0" fontId="0" fillId="0" borderId="2" xfId="0" applyFill="1" applyBorder="1" applyAlignment="1">
      <alignment horizontal="left" vertical="center"/>
    </xf>
    <xf numFmtId="0" fontId="0" fillId="0" borderId="4" xfId="0" applyFill="1" applyBorder="1" applyAlignment="1">
      <alignment horizontal="center" vertical="center"/>
    </xf>
    <xf numFmtId="0" fontId="0" fillId="0" borderId="4" xfId="0" applyFill="1" applyBorder="1" applyAlignment="1">
      <alignment horizontal="center" vertical="center" wrapText="1"/>
    </xf>
    <xf numFmtId="0" fontId="5" fillId="0" borderId="4" xfId="0" applyNumberFormat="1" applyFont="1" applyFill="1" applyBorder="1" applyAlignment="1">
      <alignment horizontal="left" vertical="center" wrapText="1"/>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0" borderId="4" xfId="0" applyFill="1" applyBorder="1" applyAlignment="1">
      <alignment horizontal="left" vertical="center"/>
    </xf>
    <xf numFmtId="0" fontId="5" fillId="0" borderId="4" xfId="0" applyFont="1" applyFill="1" applyBorder="1" applyAlignment="1">
      <alignment vertical="center"/>
    </xf>
    <xf numFmtId="0" fontId="6" fillId="0" borderId="6" xfId="49" applyFont="1" applyFill="1" applyBorder="1" applyAlignment="1">
      <alignment horizontal="left" vertical="center" wrapText="1"/>
    </xf>
    <xf numFmtId="0" fontId="7" fillId="0" borderId="6" xfId="49" applyFont="1" applyFill="1" applyBorder="1" applyAlignment="1">
      <alignment horizontal="left" vertical="center" wrapText="1"/>
    </xf>
    <xf numFmtId="0" fontId="0" fillId="0" borderId="1" xfId="0" applyFont="1" applyFill="1" applyBorder="1" applyAlignment="1">
      <alignment horizontal="center" vertical="center" wrapText="1"/>
    </xf>
    <xf numFmtId="177" fontId="8" fillId="0" borderId="7" xfId="49" applyNumberFormat="1" applyFont="1" applyFill="1" applyBorder="1" applyAlignment="1">
      <alignment horizontal="center" vertical="center" wrapText="1"/>
    </xf>
    <xf numFmtId="0" fontId="5" fillId="0" borderId="2" xfId="0" applyFont="1" applyFill="1" applyBorder="1" applyAlignment="1">
      <alignment vertical="center"/>
    </xf>
    <xf numFmtId="0" fontId="9" fillId="0" borderId="8" xfId="49" applyFont="1" applyFill="1" applyBorder="1" applyAlignment="1">
      <alignment horizontal="left" vertical="center" wrapText="1"/>
    </xf>
    <xf numFmtId="0" fontId="7" fillId="0" borderId="1" xfId="49" applyFont="1" applyFill="1" applyBorder="1" applyAlignment="1">
      <alignment horizontal="left" vertical="center" wrapText="1"/>
    </xf>
    <xf numFmtId="0" fontId="0" fillId="0" borderId="1" xfId="0"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10" fillId="0" borderId="1" xfId="0" applyFont="1" applyFill="1" applyBorder="1" applyAlignme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9" fillId="0" borderId="1" xfId="49" applyFont="1" applyFill="1" applyBorder="1" applyAlignment="1">
      <alignment horizontal="center" vertical="center" wrapText="1"/>
    </xf>
    <xf numFmtId="0" fontId="11" fillId="0" borderId="1" xfId="0" applyFont="1" applyFill="1" applyBorder="1" applyAlignment="1">
      <alignment horizontal="center" vertical="center"/>
    </xf>
    <xf numFmtId="0" fontId="0" fillId="0" borderId="1" xfId="0" applyBorder="1" applyAlignment="1">
      <alignment horizontal="center" vertical="center" wrapText="1"/>
    </xf>
    <xf numFmtId="0" fontId="3" fillId="3" borderId="1" xfId="49" applyFont="1" applyFill="1" applyBorder="1" applyAlignment="1">
      <alignment horizontal="left" vertical="center" wrapText="1"/>
    </xf>
    <xf numFmtId="0" fontId="5" fillId="3" borderId="1" xfId="49" applyFont="1" applyFill="1" applyBorder="1" applyAlignment="1">
      <alignment horizontal="left" vertical="center" wrapText="1"/>
    </xf>
    <xf numFmtId="0" fontId="12" fillId="3" borderId="5" xfId="49" applyFont="1" applyFill="1" applyBorder="1" applyAlignment="1">
      <alignment horizontal="left" vertical="center" wrapText="1"/>
    </xf>
    <xf numFmtId="0" fontId="0" fillId="0" borderId="0" xfId="0" applyFill="1" applyAlignment="1">
      <alignment horizontal="left" vertical="center" wrapText="1"/>
    </xf>
    <xf numFmtId="0" fontId="8" fillId="0" borderId="0" xfId="0" applyFont="1" applyFill="1" applyAlignment="1"/>
    <xf numFmtId="0" fontId="9" fillId="0" borderId="0" xfId="0" applyFont="1" applyFill="1" applyAlignment="1"/>
    <xf numFmtId="0" fontId="13" fillId="0" borderId="9"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6" fillId="0" borderId="1" xfId="0" applyFont="1" applyFill="1" applyBorder="1" applyAlignment="1"/>
    <xf numFmtId="0" fontId="8" fillId="0" borderId="1" xfId="0" applyFont="1" applyFill="1" applyBorder="1" applyAlignment="1"/>
    <xf numFmtId="0" fontId="9" fillId="0" borderId="1" xfId="0" applyFont="1" applyFill="1" applyBorder="1" applyAlignment="1">
      <alignment horizontal="left" vertical="center" wrapText="1"/>
    </xf>
    <xf numFmtId="0" fontId="6" fillId="0" borderId="1" xfId="0" applyFont="1" applyFill="1" applyBorder="1" applyAlignment="1">
      <alignment horizontal="center"/>
    </xf>
    <xf numFmtId="0" fontId="0" fillId="0" borderId="1" xfId="0" applyFont="1" applyFill="1" applyBorder="1" applyAlignment="1"/>
    <xf numFmtId="0" fontId="6" fillId="0" borderId="2" xfId="0" applyFont="1" applyFill="1" applyBorder="1" applyAlignment="1">
      <alignment horizontal="center"/>
    </xf>
    <xf numFmtId="0" fontId="6" fillId="0" borderId="4" xfId="0" applyFont="1" applyFill="1" applyBorder="1" applyAlignment="1">
      <alignment horizontal="center"/>
    </xf>
    <xf numFmtId="0" fontId="9" fillId="0" borderId="1" xfId="0" applyFont="1" applyFill="1" applyBorder="1" applyAlignment="1">
      <alignment wrapText="1"/>
    </xf>
    <xf numFmtId="0" fontId="6" fillId="0" borderId="1" xfId="0" applyFont="1" applyFill="1" applyBorder="1" applyAlignment="1">
      <alignment horizontal="center" vertical="center"/>
    </xf>
    <xf numFmtId="0" fontId="18" fillId="0" borderId="0" xfId="0" applyFont="1" applyFill="1" applyAlignment="1"/>
    <xf numFmtId="0" fontId="18" fillId="0" borderId="0" xfId="0" applyFont="1" applyFill="1" applyAlignment="1">
      <alignment wrapText="1"/>
    </xf>
    <xf numFmtId="0" fontId="18" fillId="0" borderId="0" xfId="0" applyFont="1" applyFill="1" applyAlignment="1">
      <alignment horizontal="center"/>
    </xf>
    <xf numFmtId="0" fontId="18" fillId="0" borderId="0" xfId="0" applyFont="1" applyAlignment="1"/>
    <xf numFmtId="0" fontId="19" fillId="0" borderId="1" xfId="0" applyFont="1" applyFill="1" applyBorder="1" applyAlignment="1">
      <alignment horizontal="center" vertical="center"/>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1" xfId="64" applyFont="1" applyFill="1" applyBorder="1" applyAlignment="1">
      <alignment horizontal="center" vertical="center" wrapText="1"/>
    </xf>
    <xf numFmtId="0" fontId="21" fillId="0" borderId="1" xfId="64" applyFont="1" applyFill="1" applyBorder="1" applyAlignment="1">
      <alignment horizontal="left" vertical="center" wrapText="1"/>
    </xf>
    <xf numFmtId="0" fontId="21" fillId="0" borderId="1" xfId="0" applyFont="1" applyFill="1" applyBorder="1" applyAlignment="1">
      <alignment horizontal="center" vertical="center"/>
    </xf>
    <xf numFmtId="0" fontId="21" fillId="0" borderId="1" xfId="0" applyFont="1" applyFill="1" applyBorder="1" applyAlignment="1">
      <alignment horizontal="left" vertical="center" wrapText="1"/>
    </xf>
    <xf numFmtId="0" fontId="21" fillId="0" borderId="1" xfId="0" applyFont="1" applyFill="1" applyBorder="1" applyAlignment="1">
      <alignment horizontal="justify" vertical="center" wrapText="1"/>
    </xf>
    <xf numFmtId="0" fontId="21" fillId="0" borderId="1" xfId="65" applyFont="1" applyFill="1" applyBorder="1" applyAlignment="1">
      <alignment horizontal="center" vertical="center" wrapText="1"/>
    </xf>
    <xf numFmtId="0" fontId="22" fillId="0" borderId="0" xfId="50"/>
    <xf numFmtId="0" fontId="22" fillId="0" borderId="0" xfId="50" applyAlignment="1">
      <alignment horizontal="center"/>
    </xf>
    <xf numFmtId="0" fontId="22" fillId="0" borderId="0" xfId="50" applyAlignment="1">
      <alignment horizontal="center" wrapText="1"/>
    </xf>
    <xf numFmtId="0" fontId="22" fillId="0" borderId="0" xfId="50" applyAlignment="1">
      <alignment horizontal="left"/>
    </xf>
    <xf numFmtId="0" fontId="19" fillId="0" borderId="0" xfId="50" applyFont="1" applyAlignment="1">
      <alignment horizontal="center"/>
    </xf>
    <xf numFmtId="0" fontId="19" fillId="0" borderId="0" xfId="50" applyFont="1" applyAlignment="1">
      <alignment horizontal="left"/>
    </xf>
    <xf numFmtId="0" fontId="20" fillId="0" borderId="1" xfId="50" applyFont="1" applyBorder="1" applyAlignment="1">
      <alignment horizontal="center" vertical="center"/>
    </xf>
    <xf numFmtId="0" fontId="20" fillId="0" borderId="1" xfId="50" applyFont="1" applyBorder="1" applyAlignment="1">
      <alignment horizontal="center" vertical="center" wrapText="1"/>
    </xf>
    <xf numFmtId="0" fontId="21" fillId="0" borderId="1" xfId="50" applyFont="1" applyBorder="1" applyAlignment="1">
      <alignment horizontal="center" vertical="center"/>
    </xf>
    <xf numFmtId="0" fontId="21" fillId="0" borderId="1" xfId="50" applyFont="1" applyBorder="1" applyAlignment="1">
      <alignment horizontal="center" vertical="center" wrapText="1"/>
    </xf>
    <xf numFmtId="0" fontId="21" fillId="0" borderId="10" xfId="50" applyFont="1" applyBorder="1" applyAlignment="1">
      <alignment vertical="center" wrapText="1"/>
    </xf>
    <xf numFmtId="0" fontId="21" fillId="0" borderId="4" xfId="50" applyFont="1" applyBorder="1" applyAlignment="1">
      <alignment horizontal="center" vertical="center"/>
    </xf>
    <xf numFmtId="0" fontId="21" fillId="0" borderId="4" xfId="50" applyFont="1" applyBorder="1" applyAlignment="1">
      <alignment horizontal="center" vertical="center" wrapText="1"/>
    </xf>
    <xf numFmtId="0" fontId="21" fillId="0" borderId="0" xfId="50" applyFont="1" applyAlignment="1">
      <alignment horizontal="left" wrapText="1"/>
    </xf>
    <xf numFmtId="0" fontId="21" fillId="0" borderId="1" xfId="50" applyFont="1" applyBorder="1"/>
    <xf numFmtId="0" fontId="21" fillId="0" borderId="4" xfId="50" applyFont="1" applyBorder="1" applyAlignment="1">
      <alignment horizontal="center"/>
    </xf>
    <xf numFmtId="0" fontId="21" fillId="0" borderId="10" xfId="50" applyFont="1" applyBorder="1" applyAlignment="1">
      <alignment horizontal="left" vertical="center" wrapText="1"/>
    </xf>
    <xf numFmtId="0" fontId="18" fillId="0" borderId="0" xfId="51" applyFont="1" applyAlignment="1"/>
    <xf numFmtId="0" fontId="19" fillId="0" borderId="9" xfId="51" applyFont="1" applyBorder="1" applyAlignment="1">
      <alignment horizontal="center" vertical="center" wrapText="1"/>
    </xf>
    <xf numFmtId="0" fontId="19" fillId="0" borderId="0" xfId="51" applyFont="1" applyAlignment="1">
      <alignment horizontal="center" vertical="center" wrapText="1"/>
    </xf>
    <xf numFmtId="0" fontId="20" fillId="0" borderId="1" xfId="51" applyFont="1" applyBorder="1" applyAlignment="1">
      <alignment horizontal="center" vertical="center" wrapText="1"/>
    </xf>
    <xf numFmtId="0" fontId="21" fillId="0" borderId="1" xfId="51" applyFont="1" applyBorder="1" applyAlignment="1">
      <alignment horizontal="center" vertical="center" wrapText="1"/>
    </xf>
    <xf numFmtId="176" fontId="21" fillId="0" borderId="1" xfId="60" applyFont="1" applyBorder="1" applyAlignment="1">
      <alignment horizontal="justify" vertical="center" wrapText="1"/>
    </xf>
    <xf numFmtId="0" fontId="21" fillId="0" borderId="1" xfId="51" applyFont="1" applyBorder="1" applyAlignment="1">
      <alignment vertical="center" wrapText="1"/>
    </xf>
    <xf numFmtId="0" fontId="21" fillId="0" borderId="1" xfId="51" applyFont="1" applyBorder="1" applyAlignment="1">
      <alignment horizontal="center" vertical="center"/>
    </xf>
    <xf numFmtId="0" fontId="21" fillId="0" borderId="1" xfId="51" applyFont="1" applyBorder="1" applyAlignment="1">
      <alignment horizontal="left" vertical="center" wrapText="1"/>
    </xf>
    <xf numFmtId="0" fontId="21" fillId="0" borderId="1" xfId="51" applyFont="1" applyFill="1" applyBorder="1" applyAlignment="1">
      <alignment horizontal="center" vertical="center" wrapText="1"/>
    </xf>
    <xf numFmtId="0" fontId="21" fillId="0" borderId="1" xfId="51" applyFont="1" applyFill="1" applyBorder="1" applyAlignment="1">
      <alignment horizontal="left" vertical="center" wrapText="1"/>
    </xf>
    <xf numFmtId="0" fontId="3" fillId="0" borderId="2" xfId="49" applyFont="1" applyFill="1" applyBorder="1" applyAlignment="1">
      <alignment horizontal="center" vertical="center" wrapText="1"/>
    </xf>
    <xf numFmtId="0" fontId="18" fillId="0" borderId="0" xfId="51" applyFont="1" applyAlignment="1">
      <alignment horizontal="left" vertical="center" wrapText="1"/>
    </xf>
    <xf numFmtId="0" fontId="3" fillId="0" borderId="4" xfId="49" applyFont="1" applyFill="1" applyBorder="1" applyAlignment="1">
      <alignment horizontal="center" vertical="center" wrapText="1"/>
    </xf>
    <xf numFmtId="0" fontId="21" fillId="0" borderId="4" xfId="51" applyFont="1" applyBorder="1" applyAlignment="1">
      <alignment horizontal="center" vertical="center" wrapText="1"/>
    </xf>
    <xf numFmtId="178" fontId="21" fillId="0" borderId="4" xfId="51" applyNumberFormat="1" applyFont="1" applyBorder="1" applyAlignment="1">
      <alignment horizontal="left" vertical="center" wrapText="1"/>
    </xf>
    <xf numFmtId="0" fontId="23" fillId="0" borderId="1" xfId="51" applyFont="1" applyBorder="1" applyAlignment="1">
      <alignment horizontal="center" vertical="center" wrapText="1"/>
    </xf>
    <xf numFmtId="0" fontId="21" fillId="0" borderId="1" xfId="0" applyFont="1" applyFill="1" applyBorder="1" applyAlignment="1">
      <alignment vertical="center" wrapText="1"/>
    </xf>
    <xf numFmtId="0" fontId="18" fillId="0" borderId="0" xfId="60" applyNumberFormat="1" applyFont="1" applyAlignment="1">
      <alignment vertical="center"/>
    </xf>
    <xf numFmtId="0" fontId="24" fillId="0" borderId="0" xfId="60" applyNumberFormat="1" applyFont="1" applyAlignment="1">
      <alignment vertical="center"/>
    </xf>
    <xf numFmtId="0" fontId="23" fillId="0" borderId="0" xfId="60" applyNumberFormat="1" applyFont="1" applyAlignment="1">
      <alignment vertical="center"/>
    </xf>
    <xf numFmtId="0" fontId="18" fillId="0" borderId="0" xfId="60" applyNumberFormat="1" applyFont="1" applyAlignment="1">
      <alignment horizontal="left" vertical="center" wrapText="1"/>
    </xf>
    <xf numFmtId="0" fontId="21" fillId="0" borderId="0" xfId="60" applyNumberFormat="1" applyFont="1" applyAlignment="1">
      <alignment horizontal="left" vertical="center"/>
    </xf>
    <xf numFmtId="0" fontId="19" fillId="0" borderId="5" xfId="60" applyNumberFormat="1" applyFont="1" applyBorder="1" applyAlignment="1">
      <alignment horizontal="center" vertical="center"/>
    </xf>
    <xf numFmtId="0" fontId="19" fillId="0" borderId="11" xfId="60" applyNumberFormat="1" applyFont="1" applyBorder="1" applyAlignment="1">
      <alignment horizontal="center" vertical="center"/>
    </xf>
    <xf numFmtId="0" fontId="19" fillId="0" borderId="10" xfId="60" applyNumberFormat="1" applyFont="1" applyBorder="1" applyAlignment="1">
      <alignment horizontal="center" vertical="center"/>
    </xf>
    <xf numFmtId="0" fontId="20" fillId="0" borderId="1" xfId="60" applyNumberFormat="1" applyFont="1" applyBorder="1" applyAlignment="1">
      <alignment horizontal="center" vertical="center" wrapText="1"/>
    </xf>
    <xf numFmtId="0" fontId="25" fillId="0" borderId="5" xfId="60" applyNumberFormat="1" applyFont="1" applyBorder="1" applyAlignment="1">
      <alignment horizontal="left" vertical="center" wrapText="1"/>
    </xf>
    <xf numFmtId="0" fontId="25" fillId="0" borderId="11" xfId="60" applyNumberFormat="1" applyFont="1" applyBorder="1" applyAlignment="1">
      <alignment horizontal="left" vertical="center" wrapText="1"/>
    </xf>
    <xf numFmtId="0" fontId="25" fillId="0" borderId="10" xfId="60" applyNumberFormat="1" applyFont="1" applyBorder="1" applyAlignment="1">
      <alignment horizontal="left" vertical="center" wrapText="1"/>
    </xf>
    <xf numFmtId="0" fontId="21" fillId="0" borderId="1" xfId="60" applyNumberFormat="1" applyFont="1" applyBorder="1" applyAlignment="1">
      <alignment horizontal="center" vertical="center" wrapText="1"/>
    </xf>
    <xf numFmtId="0" fontId="23" fillId="0" borderId="1" xfId="60" applyNumberFormat="1" applyFont="1" applyBorder="1" applyAlignment="1">
      <alignment horizontal="center" vertical="center" wrapText="1"/>
    </xf>
    <xf numFmtId="0" fontId="26"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176" fontId="21" fillId="0" borderId="1" xfId="60" applyFont="1" applyBorder="1" applyAlignment="1">
      <alignment horizontal="left" vertical="center" wrapText="1"/>
    </xf>
    <xf numFmtId="0" fontId="21" fillId="0" borderId="1" xfId="60" applyNumberFormat="1" applyFont="1" applyBorder="1" applyAlignment="1">
      <alignment horizontal="left" vertical="center" wrapText="1"/>
    </xf>
    <xf numFmtId="0" fontId="21" fillId="0" borderId="1" xfId="60" applyNumberFormat="1" applyFont="1" applyBorder="1" applyAlignment="1">
      <alignment horizontal="center" vertical="center"/>
    </xf>
    <xf numFmtId="176" fontId="21" fillId="0" borderId="1" xfId="60" applyFont="1" applyBorder="1" applyAlignment="1">
      <alignment horizontal="center" vertical="center" wrapText="1"/>
    </xf>
    <xf numFmtId="176" fontId="21" fillId="0" borderId="1" xfId="60" applyFont="1" applyBorder="1" applyAlignment="1">
      <alignment vertical="center" wrapText="1"/>
    </xf>
    <xf numFmtId="0" fontId="21" fillId="0" borderId="1" xfId="60" applyNumberFormat="1" applyFont="1" applyFill="1" applyBorder="1" applyAlignment="1">
      <alignment horizontal="center" vertical="center" wrapText="1"/>
    </xf>
    <xf numFmtId="176" fontId="21" fillId="0" borderId="1" xfId="60" applyFont="1" applyFill="1" applyBorder="1" applyAlignment="1">
      <alignment horizontal="center" vertical="center" wrapText="1"/>
    </xf>
    <xf numFmtId="176" fontId="21" fillId="0" borderId="1" xfId="60" applyFont="1" applyFill="1" applyBorder="1" applyAlignment="1">
      <alignment vertical="center" wrapText="1"/>
    </xf>
    <xf numFmtId="0" fontId="21" fillId="0" borderId="1" xfId="60" applyNumberFormat="1" applyFont="1" applyFill="1" applyBorder="1" applyAlignment="1">
      <alignment horizontal="center" vertical="center"/>
    </xf>
    <xf numFmtId="0" fontId="23" fillId="0" borderId="1" xfId="60" applyNumberFormat="1" applyFont="1" applyFill="1" applyBorder="1" applyAlignment="1">
      <alignment horizontal="center" vertical="center" wrapText="1"/>
    </xf>
    <xf numFmtId="0" fontId="21" fillId="0" borderId="1" xfId="61" applyNumberFormat="1" applyFont="1" applyBorder="1" applyAlignment="1">
      <alignment horizontal="left" vertical="center" wrapText="1"/>
    </xf>
    <xf numFmtId="0" fontId="21" fillId="0" borderId="1" xfId="61" applyNumberFormat="1" applyFont="1" applyBorder="1" applyAlignment="1">
      <alignment horizontal="center" vertical="center" wrapText="1"/>
    </xf>
    <xf numFmtId="176" fontId="21" fillId="0" borderId="1" xfId="60" applyFont="1" applyBorder="1" applyAlignment="1">
      <alignment vertical="top" wrapText="1"/>
    </xf>
    <xf numFmtId="0" fontId="23" fillId="0" borderId="2" xfId="60" applyNumberFormat="1" applyFont="1" applyBorder="1" applyAlignment="1">
      <alignment horizontal="center" vertical="center" wrapText="1"/>
    </xf>
    <xf numFmtId="0" fontId="23" fillId="0" borderId="3" xfId="60" applyNumberFormat="1" applyFont="1" applyBorder="1" applyAlignment="1">
      <alignment horizontal="center" vertical="center" wrapText="1"/>
    </xf>
    <xf numFmtId="0" fontId="23" fillId="0" borderId="4" xfId="60" applyNumberFormat="1" applyFont="1" applyBorder="1" applyAlignment="1">
      <alignment horizontal="center" vertical="center" wrapText="1"/>
    </xf>
    <xf numFmtId="0" fontId="25" fillId="0" borderId="5" xfId="60" applyNumberFormat="1" applyFont="1" applyBorder="1" applyAlignment="1">
      <alignment horizontal="left" vertical="center"/>
    </xf>
    <xf numFmtId="0" fontId="25" fillId="0" borderId="11" xfId="60" applyNumberFormat="1" applyFont="1" applyBorder="1" applyAlignment="1">
      <alignment horizontal="left" vertical="center"/>
    </xf>
    <xf numFmtId="0" fontId="25" fillId="0" borderId="10" xfId="60" applyNumberFormat="1" applyFont="1" applyBorder="1" applyAlignment="1">
      <alignment horizontal="left" vertical="center"/>
    </xf>
    <xf numFmtId="0" fontId="21" fillId="0" borderId="1" xfId="60" applyNumberFormat="1" applyFont="1" applyBorder="1" applyAlignment="1">
      <alignment vertical="center" wrapText="1"/>
    </xf>
    <xf numFmtId="0" fontId="21" fillId="0" borderId="1" xfId="60" applyNumberFormat="1" applyFont="1" applyBorder="1" applyAlignment="1">
      <alignment horizontal="left" vertical="center"/>
    </xf>
    <xf numFmtId="0" fontId="18" fillId="0" borderId="0" xfId="60" applyNumberFormat="1" applyFont="1" applyAlignment="1">
      <alignment horizontal="center" vertical="center"/>
    </xf>
    <xf numFmtId="0" fontId="20" fillId="0" borderId="0" xfId="60" applyNumberFormat="1" applyFont="1" applyAlignment="1">
      <alignment horizontal="left" vertical="center"/>
    </xf>
    <xf numFmtId="0" fontId="4" fillId="0" borderId="0" xfId="0" applyFont="1">
      <alignment vertical="center"/>
    </xf>
    <xf numFmtId="0" fontId="0" fillId="0" borderId="0" xfId="0" applyAlignment="1">
      <alignment horizontal="center" vertical="center"/>
    </xf>
    <xf numFmtId="0" fontId="15" fillId="3" borderId="9" xfId="49" applyFont="1" applyFill="1" applyBorder="1" applyAlignment="1">
      <alignment horizontal="center" vertical="center" wrapText="1"/>
    </xf>
    <xf numFmtId="0" fontId="15" fillId="3" borderId="0" xfId="49" applyFont="1" applyFill="1" applyAlignment="1">
      <alignment horizontal="center" vertical="center" wrapText="1"/>
    </xf>
    <xf numFmtId="0" fontId="28" fillId="3" borderId="1" xfId="49" applyFont="1" applyFill="1" applyBorder="1" applyAlignment="1">
      <alignment horizontal="center" vertical="center" wrapText="1"/>
    </xf>
    <xf numFmtId="0" fontId="29" fillId="0" borderId="1" xfId="0" applyFont="1" applyBorder="1" applyAlignment="1">
      <alignment horizontal="center" vertical="center"/>
    </xf>
    <xf numFmtId="0" fontId="9" fillId="4" borderId="1" xfId="49" applyFont="1" applyFill="1" applyBorder="1" applyAlignment="1">
      <alignment horizontal="center" vertical="center" wrapText="1"/>
    </xf>
    <xf numFmtId="0" fontId="9" fillId="4" borderId="1" xfId="49" applyFont="1" applyFill="1" applyBorder="1" applyAlignment="1">
      <alignment horizontal="left" vertical="center" wrapText="1"/>
    </xf>
    <xf numFmtId="0" fontId="5" fillId="0" borderId="1" xfId="0" applyFont="1" applyFill="1" applyBorder="1" applyAlignment="1"/>
    <xf numFmtId="0" fontId="9" fillId="4" borderId="2" xfId="49" applyFont="1" applyFill="1" applyBorder="1" applyAlignment="1">
      <alignment horizontal="center" vertical="center" wrapText="1"/>
    </xf>
    <xf numFmtId="0" fontId="9" fillId="4" borderId="4" xfId="49" applyFont="1" applyFill="1" applyBorder="1" applyAlignment="1">
      <alignment horizontal="center" vertical="center" wrapText="1"/>
    </xf>
    <xf numFmtId="0" fontId="0" fillId="0" borderId="1" xfId="0" applyBorder="1" applyAlignment="1">
      <alignment horizontal="center" vertical="center"/>
    </xf>
    <xf numFmtId="0" fontId="9" fillId="0" borderId="1" xfId="49" applyFont="1" applyFill="1" applyBorder="1" applyAlignment="1">
      <alignment horizontal="left" vertical="center" wrapText="1"/>
    </xf>
    <xf numFmtId="0" fontId="0" fillId="0" borderId="0" xfId="0" applyAlignment="1">
      <alignment vertical="center" wrapText="1"/>
    </xf>
    <xf numFmtId="0" fontId="0" fillId="0" borderId="0" xfId="0" applyFont="1" applyFill="1" applyAlignment="1"/>
    <xf numFmtId="0" fontId="30" fillId="0" borderId="5" xfId="0" applyFont="1" applyFill="1" applyBorder="1" applyAlignment="1">
      <alignment horizontal="center" vertical="center"/>
    </xf>
    <xf numFmtId="0" fontId="30" fillId="0" borderId="11" xfId="0" applyFont="1" applyFill="1" applyBorder="1" applyAlignment="1">
      <alignment horizontal="center" vertical="center"/>
    </xf>
    <xf numFmtId="0" fontId="30" fillId="0" borderId="10" xfId="0" applyFont="1" applyFill="1" applyBorder="1" applyAlignment="1">
      <alignment horizontal="center" vertical="center"/>
    </xf>
    <xf numFmtId="49" fontId="31"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49" fontId="32" fillId="0" borderId="1" xfId="0" applyNumberFormat="1" applyFont="1" applyFill="1" applyBorder="1" applyAlignment="1">
      <alignment horizontal="center" vertical="center" wrapText="1"/>
    </xf>
    <xf numFmtId="49" fontId="32" fillId="0" borderId="1" xfId="0" applyNumberFormat="1" applyFont="1" applyFill="1" applyBorder="1" applyAlignment="1">
      <alignment horizontal="justify" vertical="center" wrapText="1"/>
    </xf>
    <xf numFmtId="0" fontId="32" fillId="0" borderId="1" xfId="0" applyNumberFormat="1" applyFont="1" applyFill="1" applyBorder="1" applyAlignment="1">
      <alignment horizontal="center" vertical="center" wrapText="1"/>
    </xf>
    <xf numFmtId="0" fontId="12" fillId="3" borderId="1" xfId="49" applyFont="1" applyFill="1" applyBorder="1" applyAlignment="1">
      <alignment horizontal="left" vertical="center" wrapText="1"/>
    </xf>
    <xf numFmtId="0" fontId="0" fillId="2" borderId="1" xfId="0" applyFill="1" applyBorder="1" applyAlignment="1">
      <alignment horizontal="center" vertical="center" wrapText="1"/>
    </xf>
    <xf numFmtId="0" fontId="0" fillId="0" borderId="1" xfId="0" applyFont="1" applyFill="1" applyBorder="1" applyAlignment="1">
      <alignment horizontal="center"/>
    </xf>
    <xf numFmtId="0" fontId="32" fillId="5" borderId="1" xfId="0" applyFont="1" applyFill="1" applyBorder="1" applyAlignment="1">
      <alignment horizontal="center" vertical="center" wrapText="1"/>
    </xf>
    <xf numFmtId="0" fontId="32" fillId="5" borderId="1" xfId="0" applyFont="1" applyFill="1" applyBorder="1" applyAlignment="1">
      <alignment horizontal="justify" vertical="center" wrapText="1"/>
    </xf>
    <xf numFmtId="0" fontId="32" fillId="0" borderId="1" xfId="0" applyFont="1" applyFill="1" applyBorder="1" applyAlignment="1">
      <alignment horizontal="justify" vertical="center" wrapText="1"/>
    </xf>
    <xf numFmtId="49" fontId="32" fillId="0" borderId="1" xfId="0" applyNumberFormat="1" applyFont="1" applyFill="1" applyBorder="1" applyAlignment="1">
      <alignment vertical="center" wrapText="1"/>
    </xf>
    <xf numFmtId="0" fontId="32" fillId="0" borderId="1" xfId="0" applyFont="1" applyFill="1" applyBorder="1" applyAlignment="1">
      <alignment horizontal="left" vertical="center" wrapText="1"/>
    </xf>
    <xf numFmtId="0" fontId="32" fillId="0" borderId="1" xfId="0" applyFont="1" applyFill="1" applyBorder="1" applyAlignment="1">
      <alignment horizontal="center" vertical="center"/>
    </xf>
    <xf numFmtId="0" fontId="14" fillId="0" borderId="0" xfId="0" applyFont="1" applyFill="1" applyAlignment="1"/>
    <xf numFmtId="0" fontId="8" fillId="0" borderId="0" xfId="0" applyFont="1" applyFill="1" applyAlignment="1">
      <alignment vertical="center"/>
    </xf>
    <xf numFmtId="0" fontId="8" fillId="0" borderId="0" xfId="0" applyFont="1" applyFill="1" applyAlignment="1">
      <alignment horizontal="left" vertical="center"/>
    </xf>
    <xf numFmtId="0" fontId="8" fillId="0" borderId="0" xfId="0" applyFont="1" applyFill="1" applyBorder="1" applyAlignment="1">
      <alignment horizontal="center" vertical="center"/>
    </xf>
    <xf numFmtId="0" fontId="33" fillId="0" borderId="5"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4" fillId="0" borderId="1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top" wrapText="1"/>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0" fillId="0" borderId="2" xfId="0" applyFill="1" applyBorder="1" applyAlignment="1">
      <alignment vertical="center" wrapText="1"/>
    </xf>
    <xf numFmtId="0" fontId="2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center" vertical="top"/>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top"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4" xfId="0" applyFont="1" applyFill="1" applyBorder="1" applyAlignment="1">
      <alignment horizontal="left" vertical="center" wrapText="1"/>
    </xf>
    <xf numFmtId="0" fontId="6" fillId="0" borderId="1" xfId="0" applyFont="1" applyFill="1" applyBorder="1" applyAlignment="1">
      <alignment horizontal="left" vertical="top" wrapText="1"/>
    </xf>
    <xf numFmtId="0" fontId="23" fillId="0" borderId="0" xfId="51" applyFont="1">
      <alignment vertical="center"/>
    </xf>
    <xf numFmtId="0" fontId="23" fillId="0" borderId="0" xfId="51" applyFont="1" applyAlignment="1">
      <alignment horizontal="center" vertical="center" wrapText="1"/>
    </xf>
    <xf numFmtId="0" fontId="19" fillId="0" borderId="5" xfId="51" applyFont="1" applyBorder="1" applyAlignment="1">
      <alignment horizontal="center" vertical="center" wrapText="1"/>
    </xf>
    <xf numFmtId="0" fontId="19" fillId="0" borderId="11" xfId="51" applyFont="1" applyBorder="1" applyAlignment="1">
      <alignment horizontal="center" vertical="center" wrapText="1"/>
    </xf>
    <xf numFmtId="0" fontId="19" fillId="0" borderId="10" xfId="51" applyFont="1" applyBorder="1" applyAlignment="1">
      <alignment horizontal="center" vertical="center" wrapText="1"/>
    </xf>
    <xf numFmtId="0" fontId="21" fillId="0" borderId="1" xfId="59" applyFont="1" applyBorder="1" applyAlignment="1">
      <alignment horizontal="left" vertical="center" wrapText="1"/>
    </xf>
    <xf numFmtId="0" fontId="23" fillId="0" borderId="1" xfId="51" applyFont="1" applyBorder="1">
      <alignment vertical="center"/>
    </xf>
    <xf numFmtId="178" fontId="21" fillId="0" borderId="1" xfId="51" applyNumberFormat="1" applyFont="1" applyBorder="1" applyAlignment="1">
      <alignment vertical="center" wrapText="1"/>
    </xf>
    <xf numFmtId="0" fontId="25" fillId="0" borderId="5" xfId="51" applyFont="1" applyBorder="1" applyAlignment="1">
      <alignment horizontal="left" vertical="center"/>
    </xf>
    <xf numFmtId="0" fontId="25" fillId="0" borderId="11" xfId="51" applyFont="1" applyBorder="1" applyAlignment="1">
      <alignment horizontal="left" vertical="center"/>
    </xf>
    <xf numFmtId="0" fontId="25" fillId="0" borderId="10" xfId="51" applyFont="1" applyBorder="1" applyAlignment="1">
      <alignment horizontal="left" vertical="center"/>
    </xf>
    <xf numFmtId="0" fontId="23" fillId="0" borderId="1" xfId="51" applyFont="1" applyBorder="1" applyAlignment="1">
      <alignment vertical="center" wrapText="1"/>
    </xf>
    <xf numFmtId="0" fontId="21" fillId="0" borderId="1" xfId="54" applyFont="1" applyBorder="1" applyAlignment="1">
      <alignment vertical="center" wrapText="1"/>
    </xf>
    <xf numFmtId="0" fontId="21" fillId="0" borderId="1" xfId="52" applyFont="1" applyBorder="1" applyAlignment="1">
      <alignment vertical="center" wrapText="1"/>
    </xf>
    <xf numFmtId="0" fontId="21" fillId="0" borderId="1" xfId="55" applyFont="1" applyBorder="1" applyAlignment="1">
      <alignment horizontal="center" vertical="center" wrapText="1"/>
    </xf>
    <xf numFmtId="0" fontId="21" fillId="0" borderId="1" xfId="55" applyFont="1" applyBorder="1" applyAlignment="1">
      <alignment vertical="center" wrapText="1"/>
    </xf>
    <xf numFmtId="0" fontId="21" fillId="0" borderId="1" xfId="56" applyFont="1" applyBorder="1" applyAlignment="1">
      <alignment vertical="center" wrapText="1"/>
    </xf>
    <xf numFmtId="0" fontId="21" fillId="0" borderId="1" xfId="52" applyFont="1" applyBorder="1" applyAlignment="1">
      <alignment horizontal="center" vertical="center" wrapText="1"/>
    </xf>
    <xf numFmtId="0" fontId="23" fillId="0" borderId="1" xfId="52" applyFont="1" applyBorder="1" applyAlignment="1">
      <alignment horizontal="center" vertical="center" wrapText="1"/>
    </xf>
    <xf numFmtId="0" fontId="21" fillId="0" borderId="1" xfId="57" applyFont="1" applyBorder="1" applyAlignment="1">
      <alignment vertical="center" wrapText="1"/>
    </xf>
    <xf numFmtId="0" fontId="21" fillId="0" borderId="1" xfId="53" applyFont="1" applyBorder="1" applyAlignment="1">
      <alignment horizontal="center" vertical="center" wrapText="1"/>
    </xf>
    <xf numFmtId="0" fontId="23" fillId="0" borderId="1" xfId="53" applyFont="1" applyBorder="1" applyAlignment="1">
      <alignment horizontal="center" vertical="center" wrapText="1"/>
    </xf>
    <xf numFmtId="0" fontId="21" fillId="0" borderId="1" xfId="53" applyFont="1" applyBorder="1" applyAlignment="1">
      <alignment vertical="center" wrapText="1"/>
    </xf>
    <xf numFmtId="0" fontId="21" fillId="0" borderId="1" xfId="58" applyFont="1" applyBorder="1" applyAlignment="1">
      <alignment vertical="center" wrapText="1"/>
    </xf>
    <xf numFmtId="0" fontId="21" fillId="0" borderId="1" xfId="51" applyFont="1" applyBorder="1">
      <alignment vertical="center"/>
    </xf>
    <xf numFmtId="0" fontId="23" fillId="0" borderId="1" xfId="51" applyFont="1" applyFill="1" applyBorder="1">
      <alignment vertical="center"/>
    </xf>
    <xf numFmtId="0" fontId="23" fillId="0" borderId="0" xfId="0" applyFont="1" applyFill="1" applyAlignment="1">
      <alignment vertical="center"/>
    </xf>
    <xf numFmtId="0" fontId="18" fillId="0" borderId="0" xfId="0" applyFont="1" applyFill="1" applyAlignment="1">
      <alignment vertical="center"/>
    </xf>
    <xf numFmtId="0" fontId="35" fillId="0" borderId="0" xfId="0" applyFont="1" applyFill="1" applyAlignment="1">
      <alignment horizontal="center" vertical="center" wrapText="1"/>
    </xf>
    <xf numFmtId="0" fontId="23" fillId="0" borderId="0" xfId="0" applyFont="1" applyFill="1" applyAlignment="1">
      <alignment horizontal="center" vertical="center"/>
    </xf>
    <xf numFmtId="0" fontId="23" fillId="0" borderId="0" xfId="0" applyFont="1" applyAlignment="1">
      <alignment vertical="center"/>
    </xf>
    <xf numFmtId="0" fontId="36" fillId="0" borderId="1" xfId="0" applyFont="1" applyFill="1" applyBorder="1" applyAlignment="1">
      <alignment horizontal="center" vertical="center"/>
    </xf>
    <xf numFmtId="0" fontId="36" fillId="0" borderId="1" xfId="0" applyFont="1" applyFill="1" applyBorder="1" applyAlignment="1">
      <alignment horizontal="center" vertical="center" wrapText="1"/>
    </xf>
    <xf numFmtId="0" fontId="37" fillId="0" borderId="1" xfId="0" applyFont="1" applyFill="1" applyBorder="1" applyAlignment="1">
      <alignment horizontal="center" vertical="center"/>
    </xf>
    <xf numFmtId="0" fontId="37" fillId="0" borderId="1" xfId="0" applyFont="1" applyFill="1" applyBorder="1" applyAlignment="1">
      <alignment horizontal="center" vertical="center" wrapText="1"/>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3" xfId="50"/>
    <cellStyle name="常规 11" xfId="51"/>
    <cellStyle name="常规 2 3" xfId="52"/>
    <cellStyle name="常规 16" xfId="53"/>
    <cellStyle name="s]_x000d__x000a_load=_x000d__x000a_run=_x000d__x000a_NullPort=None_x000d__x000a_device=HP LaserJet 4 Plus,HPPCL5MS,LPT1:_x000d__x000a__x000d__x000a_[Desktop]_x000d__x000a_Wallpaper=(无)_x000d__x000a_TileWallpaper=0_x000d_" xfId="54"/>
    <cellStyle name="常规 9" xfId="55"/>
    <cellStyle name="常规 2 2 4" xfId="56"/>
    <cellStyle name="常规 6" xfId="57"/>
    <cellStyle name="常规 18 2 2" xfId="58"/>
    <cellStyle name="常规 43 3 3 2" xfId="59"/>
    <cellStyle name="常规 4" xfId="60"/>
    <cellStyle name="常规 2 2" xfId="61"/>
    <cellStyle name="常规 3 2" xfId="62"/>
    <cellStyle name="常规 2" xfId="63"/>
    <cellStyle name="常规 4 3" xfId="64"/>
    <cellStyle name="常规_联发报价" xfId="65"/>
    <cellStyle name="常规 30"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9" Type="http://schemas.openxmlformats.org/officeDocument/2006/relationships/image" Target="media/image103.png"/><Relationship Id="rId98" Type="http://schemas.openxmlformats.org/officeDocument/2006/relationships/image" Target="media/image102.png"/><Relationship Id="rId97" Type="http://schemas.openxmlformats.org/officeDocument/2006/relationships/image" Target="media/image101.png"/><Relationship Id="rId96" Type="http://schemas.openxmlformats.org/officeDocument/2006/relationships/image" Target="media/image100.png"/><Relationship Id="rId95" Type="http://schemas.openxmlformats.org/officeDocument/2006/relationships/image" Target="media/image99.png"/><Relationship Id="rId94" Type="http://schemas.openxmlformats.org/officeDocument/2006/relationships/image" Target="media/image98.png"/><Relationship Id="rId93" Type="http://schemas.openxmlformats.org/officeDocument/2006/relationships/image" Target="media/image97.png"/><Relationship Id="rId92" Type="http://schemas.openxmlformats.org/officeDocument/2006/relationships/image" Target="media/image96.png"/><Relationship Id="rId91" Type="http://schemas.openxmlformats.org/officeDocument/2006/relationships/image" Target="media/image95.png"/><Relationship Id="rId90" Type="http://schemas.openxmlformats.org/officeDocument/2006/relationships/image" Target="media/image94.png"/><Relationship Id="rId9" Type="http://schemas.openxmlformats.org/officeDocument/2006/relationships/image" Target="media/image13.png"/><Relationship Id="rId89" Type="http://schemas.openxmlformats.org/officeDocument/2006/relationships/image" Target="media/image93.png"/><Relationship Id="rId88" Type="http://schemas.openxmlformats.org/officeDocument/2006/relationships/image" Target="media/image92.jpeg"/><Relationship Id="rId87" Type="http://schemas.openxmlformats.org/officeDocument/2006/relationships/image" Target="media/image91.jpeg"/><Relationship Id="rId86" Type="http://schemas.openxmlformats.org/officeDocument/2006/relationships/image" Target="media/image90.jpeg"/><Relationship Id="rId85" Type="http://schemas.openxmlformats.org/officeDocument/2006/relationships/image" Target="media/image89.png"/><Relationship Id="rId84" Type="http://schemas.openxmlformats.org/officeDocument/2006/relationships/image" Target="media/image88.jpeg"/><Relationship Id="rId83" Type="http://schemas.openxmlformats.org/officeDocument/2006/relationships/image" Target="media/image87.png"/><Relationship Id="rId82" Type="http://schemas.openxmlformats.org/officeDocument/2006/relationships/image" Target="media/image86.png"/><Relationship Id="rId81" Type="http://schemas.openxmlformats.org/officeDocument/2006/relationships/image" Target="media/image85.png"/><Relationship Id="rId80" Type="http://schemas.openxmlformats.org/officeDocument/2006/relationships/image" Target="media/image84.png"/><Relationship Id="rId8" Type="http://schemas.openxmlformats.org/officeDocument/2006/relationships/image" Target="media/image12.png"/><Relationship Id="rId79" Type="http://schemas.openxmlformats.org/officeDocument/2006/relationships/image" Target="media/image83.png"/><Relationship Id="rId78" Type="http://schemas.openxmlformats.org/officeDocument/2006/relationships/image" Target="media/image82.png"/><Relationship Id="rId77" Type="http://schemas.openxmlformats.org/officeDocument/2006/relationships/image" Target="media/image81.jpeg"/><Relationship Id="rId76" Type="http://schemas.openxmlformats.org/officeDocument/2006/relationships/image" Target="media/image80.png"/><Relationship Id="rId75" Type="http://schemas.openxmlformats.org/officeDocument/2006/relationships/image" Target="media/image79.png"/><Relationship Id="rId74" Type="http://schemas.openxmlformats.org/officeDocument/2006/relationships/image" Target="media/image78.png"/><Relationship Id="rId73" Type="http://schemas.openxmlformats.org/officeDocument/2006/relationships/image" Target="media/image77.png"/><Relationship Id="rId72" Type="http://schemas.openxmlformats.org/officeDocument/2006/relationships/image" Target="media/image76.png"/><Relationship Id="rId71" Type="http://schemas.openxmlformats.org/officeDocument/2006/relationships/image" Target="media/image75.png"/><Relationship Id="rId70" Type="http://schemas.openxmlformats.org/officeDocument/2006/relationships/image" Target="media/image74.jpeg"/><Relationship Id="rId7" Type="http://schemas.openxmlformats.org/officeDocument/2006/relationships/image" Target="media/image11.png"/><Relationship Id="rId69" Type="http://schemas.openxmlformats.org/officeDocument/2006/relationships/image" Target="media/image73.png"/><Relationship Id="rId68" Type="http://schemas.openxmlformats.org/officeDocument/2006/relationships/image" Target="media/image72.jpeg"/><Relationship Id="rId67" Type="http://schemas.openxmlformats.org/officeDocument/2006/relationships/image" Target="media/image71.png"/><Relationship Id="rId66" Type="http://schemas.openxmlformats.org/officeDocument/2006/relationships/image" Target="media/image70.jpeg"/><Relationship Id="rId65" Type="http://schemas.openxmlformats.org/officeDocument/2006/relationships/image" Target="media/image69.jpeg"/><Relationship Id="rId64" Type="http://schemas.openxmlformats.org/officeDocument/2006/relationships/image" Target="media/image68.png"/><Relationship Id="rId63" Type="http://schemas.openxmlformats.org/officeDocument/2006/relationships/image" Target="media/image67.jpeg"/><Relationship Id="rId62" Type="http://schemas.openxmlformats.org/officeDocument/2006/relationships/image" Target="media/image66.png"/><Relationship Id="rId61" Type="http://schemas.openxmlformats.org/officeDocument/2006/relationships/image" Target="media/image65.png"/><Relationship Id="rId60" Type="http://schemas.openxmlformats.org/officeDocument/2006/relationships/image" Target="media/image64.png"/><Relationship Id="rId6" Type="http://schemas.openxmlformats.org/officeDocument/2006/relationships/image" Target="media/image10.png"/><Relationship Id="rId59" Type="http://schemas.openxmlformats.org/officeDocument/2006/relationships/image" Target="media/image63.png"/><Relationship Id="rId58" Type="http://schemas.openxmlformats.org/officeDocument/2006/relationships/image" Target="media/image62.png"/><Relationship Id="rId57" Type="http://schemas.openxmlformats.org/officeDocument/2006/relationships/image" Target="media/image61.png"/><Relationship Id="rId56" Type="http://schemas.openxmlformats.org/officeDocument/2006/relationships/image" Target="media/image60.png"/><Relationship Id="rId55" Type="http://schemas.openxmlformats.org/officeDocument/2006/relationships/image" Target="media/image59.jpeg"/><Relationship Id="rId54" Type="http://schemas.openxmlformats.org/officeDocument/2006/relationships/image" Target="media/image58.png"/><Relationship Id="rId53" Type="http://schemas.openxmlformats.org/officeDocument/2006/relationships/image" Target="media/image57.png"/><Relationship Id="rId52" Type="http://schemas.openxmlformats.org/officeDocument/2006/relationships/image" Target="media/image56.png"/><Relationship Id="rId51" Type="http://schemas.openxmlformats.org/officeDocument/2006/relationships/image" Target="media/image55.png"/><Relationship Id="rId50" Type="http://schemas.openxmlformats.org/officeDocument/2006/relationships/image" Target="media/image54.png"/><Relationship Id="rId5" Type="http://schemas.openxmlformats.org/officeDocument/2006/relationships/image" Target="media/image9.png"/><Relationship Id="rId49" Type="http://schemas.openxmlformats.org/officeDocument/2006/relationships/image" Target="media/image53.png"/><Relationship Id="rId48" Type="http://schemas.openxmlformats.org/officeDocument/2006/relationships/image" Target="media/image52.png"/><Relationship Id="rId47" Type="http://schemas.openxmlformats.org/officeDocument/2006/relationships/image" Target="media/image51.png"/><Relationship Id="rId46" Type="http://schemas.openxmlformats.org/officeDocument/2006/relationships/image" Target="media/image50.png"/><Relationship Id="rId45" Type="http://schemas.openxmlformats.org/officeDocument/2006/relationships/image" Target="media/image49.png"/><Relationship Id="rId44" Type="http://schemas.openxmlformats.org/officeDocument/2006/relationships/image" Target="media/image48.png"/><Relationship Id="rId43" Type="http://schemas.openxmlformats.org/officeDocument/2006/relationships/image" Target="media/image47.png"/><Relationship Id="rId42" Type="http://schemas.openxmlformats.org/officeDocument/2006/relationships/image" Target="media/image46.png"/><Relationship Id="rId416" Type="http://schemas.openxmlformats.org/officeDocument/2006/relationships/image" Target="media/image420.png"/><Relationship Id="rId415" Type="http://schemas.openxmlformats.org/officeDocument/2006/relationships/image" Target="media/image419.jpeg"/><Relationship Id="rId414" Type="http://schemas.openxmlformats.org/officeDocument/2006/relationships/image" Target="media/image418.jpeg"/><Relationship Id="rId413" Type="http://schemas.openxmlformats.org/officeDocument/2006/relationships/image" Target="media/image417.png"/><Relationship Id="rId412" Type="http://schemas.openxmlformats.org/officeDocument/2006/relationships/image" Target="media/image416.png"/><Relationship Id="rId411" Type="http://schemas.openxmlformats.org/officeDocument/2006/relationships/image" Target="media/image415.png"/><Relationship Id="rId410" Type="http://schemas.openxmlformats.org/officeDocument/2006/relationships/image" Target="media/image414.png"/><Relationship Id="rId41" Type="http://schemas.openxmlformats.org/officeDocument/2006/relationships/image" Target="media/image45.png"/><Relationship Id="rId409" Type="http://schemas.openxmlformats.org/officeDocument/2006/relationships/image" Target="media/image413.png"/><Relationship Id="rId408" Type="http://schemas.openxmlformats.org/officeDocument/2006/relationships/image" Target="media/image412.png"/><Relationship Id="rId407" Type="http://schemas.openxmlformats.org/officeDocument/2006/relationships/image" Target="media/image411.png"/><Relationship Id="rId406" Type="http://schemas.openxmlformats.org/officeDocument/2006/relationships/image" Target="media/image410.bmp"/><Relationship Id="rId405" Type="http://schemas.openxmlformats.org/officeDocument/2006/relationships/image" Target="media/image409.jpeg"/><Relationship Id="rId404" Type="http://schemas.openxmlformats.org/officeDocument/2006/relationships/image" Target="media/image408.png"/><Relationship Id="rId403" Type="http://schemas.openxmlformats.org/officeDocument/2006/relationships/image" Target="media/image407.jpeg"/><Relationship Id="rId402" Type="http://schemas.openxmlformats.org/officeDocument/2006/relationships/image" Target="media/image406.jpeg"/><Relationship Id="rId401" Type="http://schemas.openxmlformats.org/officeDocument/2006/relationships/image" Target="media/image405.png"/><Relationship Id="rId400" Type="http://schemas.openxmlformats.org/officeDocument/2006/relationships/image" Target="media/image404.png"/><Relationship Id="rId40" Type="http://schemas.openxmlformats.org/officeDocument/2006/relationships/image" Target="media/image44.png"/><Relationship Id="rId4" Type="http://schemas.openxmlformats.org/officeDocument/2006/relationships/image" Target="media/image8.png"/><Relationship Id="rId399" Type="http://schemas.openxmlformats.org/officeDocument/2006/relationships/image" Target="media/image403.png"/><Relationship Id="rId398" Type="http://schemas.openxmlformats.org/officeDocument/2006/relationships/image" Target="media/image402.jpeg"/><Relationship Id="rId397" Type="http://schemas.openxmlformats.org/officeDocument/2006/relationships/image" Target="media/image401.png"/><Relationship Id="rId396" Type="http://schemas.openxmlformats.org/officeDocument/2006/relationships/image" Target="media/image400.png"/><Relationship Id="rId395" Type="http://schemas.openxmlformats.org/officeDocument/2006/relationships/image" Target="media/image399.jpeg"/><Relationship Id="rId394" Type="http://schemas.openxmlformats.org/officeDocument/2006/relationships/image" Target="media/image398.png"/><Relationship Id="rId393" Type="http://schemas.openxmlformats.org/officeDocument/2006/relationships/image" Target="media/image397.jpeg"/><Relationship Id="rId392" Type="http://schemas.openxmlformats.org/officeDocument/2006/relationships/image" Target="media/image396.jpeg"/><Relationship Id="rId391" Type="http://schemas.openxmlformats.org/officeDocument/2006/relationships/image" Target="media/image395.png"/><Relationship Id="rId390" Type="http://schemas.openxmlformats.org/officeDocument/2006/relationships/image" Target="media/image394.png"/><Relationship Id="rId39" Type="http://schemas.openxmlformats.org/officeDocument/2006/relationships/image" Target="media/image43.png"/><Relationship Id="rId389" Type="http://schemas.openxmlformats.org/officeDocument/2006/relationships/image" Target="media/image393.png"/><Relationship Id="rId388" Type="http://schemas.openxmlformats.org/officeDocument/2006/relationships/image" Target="media/image392.png"/><Relationship Id="rId387" Type="http://schemas.openxmlformats.org/officeDocument/2006/relationships/image" Target="media/image391.png"/><Relationship Id="rId386" Type="http://schemas.openxmlformats.org/officeDocument/2006/relationships/image" Target="media/image390.jpeg"/><Relationship Id="rId385" Type="http://schemas.openxmlformats.org/officeDocument/2006/relationships/image" Target="media/image389.png"/><Relationship Id="rId384" Type="http://schemas.openxmlformats.org/officeDocument/2006/relationships/image" Target="media/image388.png"/><Relationship Id="rId383" Type="http://schemas.openxmlformats.org/officeDocument/2006/relationships/image" Target="media/image387.png"/><Relationship Id="rId382" Type="http://schemas.openxmlformats.org/officeDocument/2006/relationships/image" Target="media/image386.png"/><Relationship Id="rId381" Type="http://schemas.openxmlformats.org/officeDocument/2006/relationships/image" Target="media/image385.png"/><Relationship Id="rId380" Type="http://schemas.openxmlformats.org/officeDocument/2006/relationships/image" Target="media/image384.png"/><Relationship Id="rId38" Type="http://schemas.openxmlformats.org/officeDocument/2006/relationships/image" Target="media/image42.png"/><Relationship Id="rId379" Type="http://schemas.openxmlformats.org/officeDocument/2006/relationships/image" Target="media/image383.png"/><Relationship Id="rId378" Type="http://schemas.openxmlformats.org/officeDocument/2006/relationships/image" Target="media/image382.png"/><Relationship Id="rId377" Type="http://schemas.openxmlformats.org/officeDocument/2006/relationships/image" Target="media/image381.png"/><Relationship Id="rId376" Type="http://schemas.openxmlformats.org/officeDocument/2006/relationships/image" Target="media/image380.png"/><Relationship Id="rId375" Type="http://schemas.openxmlformats.org/officeDocument/2006/relationships/image" Target="media/image379.png"/><Relationship Id="rId374" Type="http://schemas.openxmlformats.org/officeDocument/2006/relationships/image" Target="media/image378.png"/><Relationship Id="rId373" Type="http://schemas.openxmlformats.org/officeDocument/2006/relationships/image" Target="media/image377.png"/><Relationship Id="rId372" Type="http://schemas.openxmlformats.org/officeDocument/2006/relationships/image" Target="media/image376.png"/><Relationship Id="rId371" Type="http://schemas.openxmlformats.org/officeDocument/2006/relationships/image" Target="media/image375.png"/><Relationship Id="rId370" Type="http://schemas.openxmlformats.org/officeDocument/2006/relationships/image" Target="media/image374.png"/><Relationship Id="rId37" Type="http://schemas.openxmlformats.org/officeDocument/2006/relationships/image" Target="media/image41.png"/><Relationship Id="rId369" Type="http://schemas.openxmlformats.org/officeDocument/2006/relationships/image" Target="media/image373.jpeg"/><Relationship Id="rId368" Type="http://schemas.openxmlformats.org/officeDocument/2006/relationships/image" Target="media/image372.png"/><Relationship Id="rId367" Type="http://schemas.openxmlformats.org/officeDocument/2006/relationships/image" Target="media/image371.png"/><Relationship Id="rId366" Type="http://schemas.openxmlformats.org/officeDocument/2006/relationships/image" Target="media/image370.png"/><Relationship Id="rId365" Type="http://schemas.openxmlformats.org/officeDocument/2006/relationships/image" Target="media/image369.jpeg"/><Relationship Id="rId364" Type="http://schemas.openxmlformats.org/officeDocument/2006/relationships/image" Target="media/image368.png"/><Relationship Id="rId363" Type="http://schemas.openxmlformats.org/officeDocument/2006/relationships/image" Target="media/image367.png"/><Relationship Id="rId362" Type="http://schemas.openxmlformats.org/officeDocument/2006/relationships/image" Target="media/image366.png"/><Relationship Id="rId361" Type="http://schemas.openxmlformats.org/officeDocument/2006/relationships/image" Target="media/image365.jpeg"/><Relationship Id="rId360" Type="http://schemas.openxmlformats.org/officeDocument/2006/relationships/image" Target="media/image364.jpeg"/><Relationship Id="rId36" Type="http://schemas.openxmlformats.org/officeDocument/2006/relationships/image" Target="media/image40.jpeg"/><Relationship Id="rId359" Type="http://schemas.openxmlformats.org/officeDocument/2006/relationships/image" Target="media/image363.jpeg"/><Relationship Id="rId358" Type="http://schemas.openxmlformats.org/officeDocument/2006/relationships/image" Target="media/image362.png"/><Relationship Id="rId357" Type="http://schemas.openxmlformats.org/officeDocument/2006/relationships/image" Target="media/image361.jpeg"/><Relationship Id="rId356" Type="http://schemas.openxmlformats.org/officeDocument/2006/relationships/image" Target="media/image360.png"/><Relationship Id="rId355" Type="http://schemas.openxmlformats.org/officeDocument/2006/relationships/image" Target="media/image359.png"/><Relationship Id="rId354" Type="http://schemas.openxmlformats.org/officeDocument/2006/relationships/image" Target="media/image358.png"/><Relationship Id="rId353" Type="http://schemas.openxmlformats.org/officeDocument/2006/relationships/image" Target="media/image357.png"/><Relationship Id="rId352" Type="http://schemas.openxmlformats.org/officeDocument/2006/relationships/image" Target="media/image356.png"/><Relationship Id="rId351" Type="http://schemas.openxmlformats.org/officeDocument/2006/relationships/image" Target="media/image355.png"/><Relationship Id="rId350" Type="http://schemas.openxmlformats.org/officeDocument/2006/relationships/image" Target="media/image354.jpeg"/><Relationship Id="rId35" Type="http://schemas.openxmlformats.org/officeDocument/2006/relationships/image" Target="media/image39.png"/><Relationship Id="rId349" Type="http://schemas.openxmlformats.org/officeDocument/2006/relationships/image" Target="media/image353.jpeg"/><Relationship Id="rId348" Type="http://schemas.openxmlformats.org/officeDocument/2006/relationships/image" Target="media/image352.jpeg"/><Relationship Id="rId347" Type="http://schemas.openxmlformats.org/officeDocument/2006/relationships/image" Target="media/image351.jpeg"/><Relationship Id="rId346" Type="http://schemas.openxmlformats.org/officeDocument/2006/relationships/image" Target="media/image350.jpeg"/><Relationship Id="rId345" Type="http://schemas.openxmlformats.org/officeDocument/2006/relationships/image" Target="media/image349.jpeg"/><Relationship Id="rId344" Type="http://schemas.openxmlformats.org/officeDocument/2006/relationships/image" Target="media/image348.jpeg"/><Relationship Id="rId343" Type="http://schemas.openxmlformats.org/officeDocument/2006/relationships/image" Target="media/image347.jpeg"/><Relationship Id="rId342" Type="http://schemas.openxmlformats.org/officeDocument/2006/relationships/image" Target="media/image346.jpeg"/><Relationship Id="rId341" Type="http://schemas.openxmlformats.org/officeDocument/2006/relationships/image" Target="media/image345.jpeg"/><Relationship Id="rId340" Type="http://schemas.openxmlformats.org/officeDocument/2006/relationships/image" Target="media/image344.jpeg"/><Relationship Id="rId34" Type="http://schemas.openxmlformats.org/officeDocument/2006/relationships/image" Target="media/image38.jpeg"/><Relationship Id="rId339" Type="http://schemas.openxmlformats.org/officeDocument/2006/relationships/image" Target="media/image343.jpeg"/><Relationship Id="rId338" Type="http://schemas.openxmlformats.org/officeDocument/2006/relationships/image" Target="media/image342.png"/><Relationship Id="rId337" Type="http://schemas.openxmlformats.org/officeDocument/2006/relationships/image" Target="media/image341.png"/><Relationship Id="rId336" Type="http://schemas.openxmlformats.org/officeDocument/2006/relationships/image" Target="media/image340.png"/><Relationship Id="rId335" Type="http://schemas.openxmlformats.org/officeDocument/2006/relationships/image" Target="media/image339.png"/><Relationship Id="rId334" Type="http://schemas.openxmlformats.org/officeDocument/2006/relationships/image" Target="media/image338.png"/><Relationship Id="rId333" Type="http://schemas.openxmlformats.org/officeDocument/2006/relationships/image" Target="media/image337.jpeg"/><Relationship Id="rId332" Type="http://schemas.openxmlformats.org/officeDocument/2006/relationships/image" Target="media/image336.png"/><Relationship Id="rId331" Type="http://schemas.openxmlformats.org/officeDocument/2006/relationships/image" Target="media/image335.png"/><Relationship Id="rId330" Type="http://schemas.openxmlformats.org/officeDocument/2006/relationships/image" Target="media/image334.png"/><Relationship Id="rId33" Type="http://schemas.openxmlformats.org/officeDocument/2006/relationships/image" Target="media/image37.png"/><Relationship Id="rId329" Type="http://schemas.openxmlformats.org/officeDocument/2006/relationships/image" Target="media/image333.png"/><Relationship Id="rId328" Type="http://schemas.openxmlformats.org/officeDocument/2006/relationships/image" Target="media/image332.png"/><Relationship Id="rId327" Type="http://schemas.openxmlformats.org/officeDocument/2006/relationships/image" Target="media/image331.png"/><Relationship Id="rId326" Type="http://schemas.openxmlformats.org/officeDocument/2006/relationships/image" Target="media/image330.png"/><Relationship Id="rId325" Type="http://schemas.openxmlformats.org/officeDocument/2006/relationships/image" Target="media/image329.png"/><Relationship Id="rId324" Type="http://schemas.openxmlformats.org/officeDocument/2006/relationships/image" Target="media/image328.png"/><Relationship Id="rId323" Type="http://schemas.openxmlformats.org/officeDocument/2006/relationships/image" Target="media/image327.png"/><Relationship Id="rId322" Type="http://schemas.openxmlformats.org/officeDocument/2006/relationships/image" Target="media/image326.png"/><Relationship Id="rId321" Type="http://schemas.openxmlformats.org/officeDocument/2006/relationships/image" Target="media/image325.png"/><Relationship Id="rId320" Type="http://schemas.openxmlformats.org/officeDocument/2006/relationships/image" Target="media/image324.png"/><Relationship Id="rId32" Type="http://schemas.openxmlformats.org/officeDocument/2006/relationships/image" Target="media/image36.png"/><Relationship Id="rId319" Type="http://schemas.openxmlformats.org/officeDocument/2006/relationships/image" Target="media/image323.png"/><Relationship Id="rId318" Type="http://schemas.openxmlformats.org/officeDocument/2006/relationships/image" Target="media/image322.png"/><Relationship Id="rId317" Type="http://schemas.openxmlformats.org/officeDocument/2006/relationships/image" Target="media/image321.png"/><Relationship Id="rId316" Type="http://schemas.openxmlformats.org/officeDocument/2006/relationships/image" Target="media/image320.png"/><Relationship Id="rId315" Type="http://schemas.openxmlformats.org/officeDocument/2006/relationships/image" Target="media/image319.png"/><Relationship Id="rId314" Type="http://schemas.openxmlformats.org/officeDocument/2006/relationships/image" Target="media/image318.png"/><Relationship Id="rId313" Type="http://schemas.openxmlformats.org/officeDocument/2006/relationships/image" Target="media/image317.png"/><Relationship Id="rId312" Type="http://schemas.openxmlformats.org/officeDocument/2006/relationships/image" Target="media/image316.png"/><Relationship Id="rId311" Type="http://schemas.openxmlformats.org/officeDocument/2006/relationships/image" Target="media/image315.png"/><Relationship Id="rId310" Type="http://schemas.openxmlformats.org/officeDocument/2006/relationships/image" Target="media/image314.png"/><Relationship Id="rId31" Type="http://schemas.openxmlformats.org/officeDocument/2006/relationships/image" Target="media/image35.jpeg"/><Relationship Id="rId309" Type="http://schemas.openxmlformats.org/officeDocument/2006/relationships/image" Target="media/image313.png"/><Relationship Id="rId308" Type="http://schemas.openxmlformats.org/officeDocument/2006/relationships/image" Target="media/image312.png"/><Relationship Id="rId307" Type="http://schemas.openxmlformats.org/officeDocument/2006/relationships/image" Target="media/image311.png"/><Relationship Id="rId306" Type="http://schemas.openxmlformats.org/officeDocument/2006/relationships/image" Target="media/image310.png"/><Relationship Id="rId305" Type="http://schemas.openxmlformats.org/officeDocument/2006/relationships/image" Target="media/image309.png"/><Relationship Id="rId304" Type="http://schemas.openxmlformats.org/officeDocument/2006/relationships/image" Target="media/image308.png"/><Relationship Id="rId303" Type="http://schemas.openxmlformats.org/officeDocument/2006/relationships/image" Target="media/image307.png"/><Relationship Id="rId302" Type="http://schemas.openxmlformats.org/officeDocument/2006/relationships/image" Target="media/image306.png"/><Relationship Id="rId301" Type="http://schemas.openxmlformats.org/officeDocument/2006/relationships/image" Target="media/image305.png"/><Relationship Id="rId300" Type="http://schemas.openxmlformats.org/officeDocument/2006/relationships/image" Target="media/image304.jpeg"/><Relationship Id="rId30" Type="http://schemas.openxmlformats.org/officeDocument/2006/relationships/image" Target="media/image34.png"/><Relationship Id="rId3" Type="http://schemas.openxmlformats.org/officeDocument/2006/relationships/image" Target="media/image7.png"/><Relationship Id="rId299" Type="http://schemas.openxmlformats.org/officeDocument/2006/relationships/image" Target="media/image303.jpeg"/><Relationship Id="rId298" Type="http://schemas.openxmlformats.org/officeDocument/2006/relationships/image" Target="media/image302.jpeg"/><Relationship Id="rId297" Type="http://schemas.openxmlformats.org/officeDocument/2006/relationships/image" Target="media/image301.jpeg"/><Relationship Id="rId296" Type="http://schemas.openxmlformats.org/officeDocument/2006/relationships/image" Target="media/image300.jpeg"/><Relationship Id="rId295" Type="http://schemas.openxmlformats.org/officeDocument/2006/relationships/image" Target="media/image299.png"/><Relationship Id="rId294" Type="http://schemas.openxmlformats.org/officeDocument/2006/relationships/image" Target="media/image298.png"/><Relationship Id="rId293" Type="http://schemas.openxmlformats.org/officeDocument/2006/relationships/image" Target="media/image297.png"/><Relationship Id="rId292" Type="http://schemas.openxmlformats.org/officeDocument/2006/relationships/image" Target="media/image296.png"/><Relationship Id="rId291" Type="http://schemas.openxmlformats.org/officeDocument/2006/relationships/image" Target="media/image295.png"/><Relationship Id="rId290" Type="http://schemas.openxmlformats.org/officeDocument/2006/relationships/image" Target="media/image294.png"/><Relationship Id="rId29" Type="http://schemas.openxmlformats.org/officeDocument/2006/relationships/image" Target="media/image33.png"/><Relationship Id="rId289" Type="http://schemas.openxmlformats.org/officeDocument/2006/relationships/image" Target="media/image293.png"/><Relationship Id="rId288" Type="http://schemas.openxmlformats.org/officeDocument/2006/relationships/image" Target="media/image292.png"/><Relationship Id="rId287" Type="http://schemas.openxmlformats.org/officeDocument/2006/relationships/image" Target="media/image291.png"/><Relationship Id="rId286" Type="http://schemas.openxmlformats.org/officeDocument/2006/relationships/image" Target="media/image290.png"/><Relationship Id="rId285" Type="http://schemas.openxmlformats.org/officeDocument/2006/relationships/image" Target="media/image289.png"/><Relationship Id="rId284" Type="http://schemas.openxmlformats.org/officeDocument/2006/relationships/image" Target="media/image288.png"/><Relationship Id="rId283" Type="http://schemas.openxmlformats.org/officeDocument/2006/relationships/image" Target="media/image287.png"/><Relationship Id="rId282" Type="http://schemas.openxmlformats.org/officeDocument/2006/relationships/image" Target="media/image286.png"/><Relationship Id="rId281" Type="http://schemas.openxmlformats.org/officeDocument/2006/relationships/image" Target="media/image285.png"/><Relationship Id="rId280" Type="http://schemas.openxmlformats.org/officeDocument/2006/relationships/image" Target="media/image284.png"/><Relationship Id="rId28" Type="http://schemas.openxmlformats.org/officeDocument/2006/relationships/image" Target="media/image32.png"/><Relationship Id="rId279" Type="http://schemas.openxmlformats.org/officeDocument/2006/relationships/image" Target="media/image283.png"/><Relationship Id="rId278" Type="http://schemas.openxmlformats.org/officeDocument/2006/relationships/image" Target="media/image282.png"/><Relationship Id="rId277" Type="http://schemas.openxmlformats.org/officeDocument/2006/relationships/image" Target="media/image281.png"/><Relationship Id="rId276" Type="http://schemas.openxmlformats.org/officeDocument/2006/relationships/image" Target="media/image280.png"/><Relationship Id="rId275" Type="http://schemas.openxmlformats.org/officeDocument/2006/relationships/image" Target="media/image279.jpeg"/><Relationship Id="rId274" Type="http://schemas.openxmlformats.org/officeDocument/2006/relationships/image" Target="media/image278.jpeg"/><Relationship Id="rId273" Type="http://schemas.openxmlformats.org/officeDocument/2006/relationships/image" Target="media/image277.jpeg"/><Relationship Id="rId272" Type="http://schemas.openxmlformats.org/officeDocument/2006/relationships/image" Target="media/image276.png"/><Relationship Id="rId271" Type="http://schemas.openxmlformats.org/officeDocument/2006/relationships/image" Target="media/image275.png"/><Relationship Id="rId270" Type="http://schemas.openxmlformats.org/officeDocument/2006/relationships/image" Target="media/image274.png"/><Relationship Id="rId27" Type="http://schemas.openxmlformats.org/officeDocument/2006/relationships/image" Target="media/image31.png"/><Relationship Id="rId269" Type="http://schemas.openxmlformats.org/officeDocument/2006/relationships/image" Target="media/image273.png"/><Relationship Id="rId268" Type="http://schemas.openxmlformats.org/officeDocument/2006/relationships/image" Target="media/image272.png"/><Relationship Id="rId267" Type="http://schemas.openxmlformats.org/officeDocument/2006/relationships/image" Target="media/image271.png"/><Relationship Id="rId266" Type="http://schemas.openxmlformats.org/officeDocument/2006/relationships/image" Target="media/image270.png"/><Relationship Id="rId265" Type="http://schemas.openxmlformats.org/officeDocument/2006/relationships/image" Target="media/image269.png"/><Relationship Id="rId264" Type="http://schemas.openxmlformats.org/officeDocument/2006/relationships/image" Target="media/image268.png"/><Relationship Id="rId263" Type="http://schemas.openxmlformats.org/officeDocument/2006/relationships/image" Target="media/image267.png"/><Relationship Id="rId262" Type="http://schemas.openxmlformats.org/officeDocument/2006/relationships/image" Target="media/image266.png"/><Relationship Id="rId261" Type="http://schemas.openxmlformats.org/officeDocument/2006/relationships/image" Target="media/image265.png"/><Relationship Id="rId260" Type="http://schemas.openxmlformats.org/officeDocument/2006/relationships/image" Target="media/image264.png"/><Relationship Id="rId26" Type="http://schemas.openxmlformats.org/officeDocument/2006/relationships/image" Target="media/image30.png"/><Relationship Id="rId259" Type="http://schemas.openxmlformats.org/officeDocument/2006/relationships/image" Target="media/image263.png"/><Relationship Id="rId258" Type="http://schemas.openxmlformats.org/officeDocument/2006/relationships/image" Target="media/image262.png"/><Relationship Id="rId257" Type="http://schemas.openxmlformats.org/officeDocument/2006/relationships/image" Target="media/image261.png"/><Relationship Id="rId256" Type="http://schemas.openxmlformats.org/officeDocument/2006/relationships/image" Target="media/image260.png"/><Relationship Id="rId255" Type="http://schemas.openxmlformats.org/officeDocument/2006/relationships/image" Target="media/image259.png"/><Relationship Id="rId254" Type="http://schemas.openxmlformats.org/officeDocument/2006/relationships/image" Target="media/image258.png"/><Relationship Id="rId253" Type="http://schemas.openxmlformats.org/officeDocument/2006/relationships/image" Target="media/image257.png"/><Relationship Id="rId252" Type="http://schemas.openxmlformats.org/officeDocument/2006/relationships/image" Target="media/image256.png"/><Relationship Id="rId251" Type="http://schemas.openxmlformats.org/officeDocument/2006/relationships/image" Target="media/image255.png"/><Relationship Id="rId250" Type="http://schemas.openxmlformats.org/officeDocument/2006/relationships/image" Target="media/image254.png"/><Relationship Id="rId25" Type="http://schemas.openxmlformats.org/officeDocument/2006/relationships/image" Target="media/image29.png"/><Relationship Id="rId249" Type="http://schemas.openxmlformats.org/officeDocument/2006/relationships/image" Target="media/image253.png"/><Relationship Id="rId248" Type="http://schemas.openxmlformats.org/officeDocument/2006/relationships/image" Target="media/image252.png"/><Relationship Id="rId247" Type="http://schemas.openxmlformats.org/officeDocument/2006/relationships/image" Target="media/image251.png"/><Relationship Id="rId246" Type="http://schemas.openxmlformats.org/officeDocument/2006/relationships/image" Target="media/image250.png"/><Relationship Id="rId245" Type="http://schemas.openxmlformats.org/officeDocument/2006/relationships/image" Target="media/image249.png"/><Relationship Id="rId244" Type="http://schemas.openxmlformats.org/officeDocument/2006/relationships/image" Target="media/image248.png"/><Relationship Id="rId243" Type="http://schemas.openxmlformats.org/officeDocument/2006/relationships/image" Target="media/image247.png"/><Relationship Id="rId242" Type="http://schemas.openxmlformats.org/officeDocument/2006/relationships/image" Target="media/image246.png"/><Relationship Id="rId241" Type="http://schemas.openxmlformats.org/officeDocument/2006/relationships/image" Target="media/image245.png"/><Relationship Id="rId240" Type="http://schemas.openxmlformats.org/officeDocument/2006/relationships/image" Target="media/image244.png"/><Relationship Id="rId24" Type="http://schemas.openxmlformats.org/officeDocument/2006/relationships/image" Target="media/image28.png"/><Relationship Id="rId239" Type="http://schemas.openxmlformats.org/officeDocument/2006/relationships/image" Target="media/image243.png"/><Relationship Id="rId238" Type="http://schemas.openxmlformats.org/officeDocument/2006/relationships/image" Target="media/image242.png"/><Relationship Id="rId237" Type="http://schemas.openxmlformats.org/officeDocument/2006/relationships/image" Target="media/image241.png"/><Relationship Id="rId236" Type="http://schemas.openxmlformats.org/officeDocument/2006/relationships/image" Target="media/image240.png"/><Relationship Id="rId235" Type="http://schemas.openxmlformats.org/officeDocument/2006/relationships/image" Target="media/image239.png"/><Relationship Id="rId234" Type="http://schemas.openxmlformats.org/officeDocument/2006/relationships/image" Target="media/image238.png"/><Relationship Id="rId233" Type="http://schemas.openxmlformats.org/officeDocument/2006/relationships/image" Target="media/image237.png"/><Relationship Id="rId232" Type="http://schemas.openxmlformats.org/officeDocument/2006/relationships/image" Target="media/image236.png"/><Relationship Id="rId231" Type="http://schemas.openxmlformats.org/officeDocument/2006/relationships/image" Target="media/image235.png"/><Relationship Id="rId230" Type="http://schemas.openxmlformats.org/officeDocument/2006/relationships/image" Target="media/image234.png"/><Relationship Id="rId23" Type="http://schemas.openxmlformats.org/officeDocument/2006/relationships/image" Target="media/image27.jpeg"/><Relationship Id="rId229" Type="http://schemas.openxmlformats.org/officeDocument/2006/relationships/image" Target="media/image233.png"/><Relationship Id="rId228" Type="http://schemas.openxmlformats.org/officeDocument/2006/relationships/image" Target="media/image232.png"/><Relationship Id="rId227" Type="http://schemas.openxmlformats.org/officeDocument/2006/relationships/image" Target="media/image231.png"/><Relationship Id="rId226" Type="http://schemas.openxmlformats.org/officeDocument/2006/relationships/image" Target="media/image230.png"/><Relationship Id="rId225" Type="http://schemas.openxmlformats.org/officeDocument/2006/relationships/image" Target="media/image229.png"/><Relationship Id="rId224" Type="http://schemas.openxmlformats.org/officeDocument/2006/relationships/image" Target="media/image228.png"/><Relationship Id="rId223" Type="http://schemas.openxmlformats.org/officeDocument/2006/relationships/image" Target="media/image227.png"/><Relationship Id="rId222" Type="http://schemas.openxmlformats.org/officeDocument/2006/relationships/image" Target="media/image226.png"/><Relationship Id="rId221" Type="http://schemas.openxmlformats.org/officeDocument/2006/relationships/image" Target="media/image225.png"/><Relationship Id="rId220" Type="http://schemas.openxmlformats.org/officeDocument/2006/relationships/image" Target="media/image224.png"/><Relationship Id="rId22" Type="http://schemas.openxmlformats.org/officeDocument/2006/relationships/image" Target="media/image26.png"/><Relationship Id="rId219" Type="http://schemas.openxmlformats.org/officeDocument/2006/relationships/image" Target="media/image223.jpeg"/><Relationship Id="rId218" Type="http://schemas.openxmlformats.org/officeDocument/2006/relationships/image" Target="media/image222.png"/><Relationship Id="rId217" Type="http://schemas.openxmlformats.org/officeDocument/2006/relationships/image" Target="media/image221.png"/><Relationship Id="rId216" Type="http://schemas.openxmlformats.org/officeDocument/2006/relationships/image" Target="media/image220.png"/><Relationship Id="rId215" Type="http://schemas.openxmlformats.org/officeDocument/2006/relationships/image" Target="media/image219.png"/><Relationship Id="rId214" Type="http://schemas.openxmlformats.org/officeDocument/2006/relationships/image" Target="media/image218.png"/><Relationship Id="rId213" Type="http://schemas.openxmlformats.org/officeDocument/2006/relationships/image" Target="media/image217.png"/><Relationship Id="rId212" Type="http://schemas.openxmlformats.org/officeDocument/2006/relationships/image" Target="media/image216.jpeg"/><Relationship Id="rId211" Type="http://schemas.openxmlformats.org/officeDocument/2006/relationships/image" Target="media/image215.jpeg"/><Relationship Id="rId210" Type="http://schemas.openxmlformats.org/officeDocument/2006/relationships/image" Target="media/image214.jpeg"/><Relationship Id="rId21" Type="http://schemas.openxmlformats.org/officeDocument/2006/relationships/image" Target="media/image25.png"/><Relationship Id="rId209" Type="http://schemas.openxmlformats.org/officeDocument/2006/relationships/image" Target="media/image213.jpeg"/><Relationship Id="rId208" Type="http://schemas.openxmlformats.org/officeDocument/2006/relationships/image" Target="media/image212.jpeg"/><Relationship Id="rId207" Type="http://schemas.openxmlformats.org/officeDocument/2006/relationships/image" Target="media/image211.png"/><Relationship Id="rId206" Type="http://schemas.openxmlformats.org/officeDocument/2006/relationships/image" Target="media/image210.jpeg"/><Relationship Id="rId205" Type="http://schemas.openxmlformats.org/officeDocument/2006/relationships/image" Target="media/image209.png"/><Relationship Id="rId204" Type="http://schemas.openxmlformats.org/officeDocument/2006/relationships/image" Target="media/image208.png"/><Relationship Id="rId203" Type="http://schemas.openxmlformats.org/officeDocument/2006/relationships/image" Target="media/image207.png"/><Relationship Id="rId202" Type="http://schemas.openxmlformats.org/officeDocument/2006/relationships/image" Target="media/image206.png"/><Relationship Id="rId201" Type="http://schemas.openxmlformats.org/officeDocument/2006/relationships/image" Target="media/image205.png"/><Relationship Id="rId200" Type="http://schemas.openxmlformats.org/officeDocument/2006/relationships/image" Target="media/image204.png"/><Relationship Id="rId20" Type="http://schemas.openxmlformats.org/officeDocument/2006/relationships/image" Target="media/image24.png"/><Relationship Id="rId2" Type="http://schemas.openxmlformats.org/officeDocument/2006/relationships/image" Target="media/image6.png"/><Relationship Id="rId199" Type="http://schemas.openxmlformats.org/officeDocument/2006/relationships/image" Target="media/image203.png"/><Relationship Id="rId198" Type="http://schemas.openxmlformats.org/officeDocument/2006/relationships/image" Target="media/image202.png"/><Relationship Id="rId197" Type="http://schemas.openxmlformats.org/officeDocument/2006/relationships/image" Target="media/image201.png"/><Relationship Id="rId196" Type="http://schemas.openxmlformats.org/officeDocument/2006/relationships/image" Target="media/image200.png"/><Relationship Id="rId195" Type="http://schemas.openxmlformats.org/officeDocument/2006/relationships/image" Target="media/image199.png"/><Relationship Id="rId194" Type="http://schemas.openxmlformats.org/officeDocument/2006/relationships/image" Target="media/image198.png"/><Relationship Id="rId193" Type="http://schemas.openxmlformats.org/officeDocument/2006/relationships/image" Target="media/image197.png"/><Relationship Id="rId192" Type="http://schemas.openxmlformats.org/officeDocument/2006/relationships/image" Target="media/image196.png"/><Relationship Id="rId191" Type="http://schemas.openxmlformats.org/officeDocument/2006/relationships/image" Target="media/image195.png"/><Relationship Id="rId190" Type="http://schemas.openxmlformats.org/officeDocument/2006/relationships/image" Target="media/image194.png"/><Relationship Id="rId19" Type="http://schemas.openxmlformats.org/officeDocument/2006/relationships/image" Target="media/image23.png"/><Relationship Id="rId189" Type="http://schemas.openxmlformats.org/officeDocument/2006/relationships/image" Target="media/image193.png"/><Relationship Id="rId188" Type="http://schemas.openxmlformats.org/officeDocument/2006/relationships/image" Target="media/image192.png"/><Relationship Id="rId187" Type="http://schemas.openxmlformats.org/officeDocument/2006/relationships/image" Target="media/image191.png"/><Relationship Id="rId186" Type="http://schemas.openxmlformats.org/officeDocument/2006/relationships/image" Target="media/image190.png"/><Relationship Id="rId185" Type="http://schemas.openxmlformats.org/officeDocument/2006/relationships/image" Target="media/image189.png"/><Relationship Id="rId184" Type="http://schemas.openxmlformats.org/officeDocument/2006/relationships/image" Target="media/image188.png"/><Relationship Id="rId183" Type="http://schemas.openxmlformats.org/officeDocument/2006/relationships/image" Target="media/image187.jpeg"/><Relationship Id="rId182" Type="http://schemas.openxmlformats.org/officeDocument/2006/relationships/image" Target="media/image186.jpeg"/><Relationship Id="rId181" Type="http://schemas.openxmlformats.org/officeDocument/2006/relationships/image" Target="media/image185.jpeg"/><Relationship Id="rId180" Type="http://schemas.openxmlformats.org/officeDocument/2006/relationships/image" Target="media/image184.jpeg"/><Relationship Id="rId18" Type="http://schemas.openxmlformats.org/officeDocument/2006/relationships/image" Target="media/image22.png"/><Relationship Id="rId179" Type="http://schemas.openxmlformats.org/officeDocument/2006/relationships/image" Target="media/image183.png"/><Relationship Id="rId178" Type="http://schemas.openxmlformats.org/officeDocument/2006/relationships/image" Target="media/image182.png"/><Relationship Id="rId177" Type="http://schemas.openxmlformats.org/officeDocument/2006/relationships/image" Target="media/image181.jpeg"/><Relationship Id="rId176" Type="http://schemas.openxmlformats.org/officeDocument/2006/relationships/image" Target="media/image180.jpeg"/><Relationship Id="rId175" Type="http://schemas.openxmlformats.org/officeDocument/2006/relationships/image" Target="media/image179.jpeg"/><Relationship Id="rId174" Type="http://schemas.openxmlformats.org/officeDocument/2006/relationships/image" Target="media/image178.jpeg"/><Relationship Id="rId173" Type="http://schemas.openxmlformats.org/officeDocument/2006/relationships/image" Target="media/image177.png"/><Relationship Id="rId172" Type="http://schemas.openxmlformats.org/officeDocument/2006/relationships/image" Target="media/image176.png"/><Relationship Id="rId171" Type="http://schemas.openxmlformats.org/officeDocument/2006/relationships/image" Target="media/image175.jpeg"/><Relationship Id="rId170" Type="http://schemas.openxmlformats.org/officeDocument/2006/relationships/image" Target="media/image174.jpeg"/><Relationship Id="rId17" Type="http://schemas.openxmlformats.org/officeDocument/2006/relationships/image" Target="media/image21.png"/><Relationship Id="rId169" Type="http://schemas.openxmlformats.org/officeDocument/2006/relationships/image" Target="media/image173.jpeg"/><Relationship Id="rId168" Type="http://schemas.openxmlformats.org/officeDocument/2006/relationships/image" Target="media/image172.jpeg"/><Relationship Id="rId167" Type="http://schemas.openxmlformats.org/officeDocument/2006/relationships/image" Target="media/image171.jpeg"/><Relationship Id="rId166" Type="http://schemas.openxmlformats.org/officeDocument/2006/relationships/image" Target="media/image170.jpeg"/><Relationship Id="rId165" Type="http://schemas.openxmlformats.org/officeDocument/2006/relationships/image" Target="media/image169.jpeg"/><Relationship Id="rId164" Type="http://schemas.openxmlformats.org/officeDocument/2006/relationships/image" Target="media/image168.jpeg"/><Relationship Id="rId163" Type="http://schemas.openxmlformats.org/officeDocument/2006/relationships/image" Target="media/image167.png"/><Relationship Id="rId162" Type="http://schemas.openxmlformats.org/officeDocument/2006/relationships/image" Target="media/image166.png"/><Relationship Id="rId161" Type="http://schemas.openxmlformats.org/officeDocument/2006/relationships/image" Target="media/image165.png"/><Relationship Id="rId160" Type="http://schemas.openxmlformats.org/officeDocument/2006/relationships/image" Target="media/image164.png"/><Relationship Id="rId16" Type="http://schemas.openxmlformats.org/officeDocument/2006/relationships/image" Target="media/image20.png"/><Relationship Id="rId159" Type="http://schemas.openxmlformats.org/officeDocument/2006/relationships/image" Target="media/image163.jpeg"/><Relationship Id="rId158" Type="http://schemas.openxmlformats.org/officeDocument/2006/relationships/image" Target="media/image162.png"/><Relationship Id="rId157" Type="http://schemas.openxmlformats.org/officeDocument/2006/relationships/image" Target="media/image161.png"/><Relationship Id="rId156" Type="http://schemas.openxmlformats.org/officeDocument/2006/relationships/image" Target="media/image160.png"/><Relationship Id="rId155" Type="http://schemas.openxmlformats.org/officeDocument/2006/relationships/image" Target="media/image159.png"/><Relationship Id="rId154" Type="http://schemas.openxmlformats.org/officeDocument/2006/relationships/image" Target="media/image158.jpeg"/><Relationship Id="rId153" Type="http://schemas.openxmlformats.org/officeDocument/2006/relationships/image" Target="media/image157.png"/><Relationship Id="rId152" Type="http://schemas.openxmlformats.org/officeDocument/2006/relationships/image" Target="media/image156.png"/><Relationship Id="rId151" Type="http://schemas.openxmlformats.org/officeDocument/2006/relationships/image" Target="media/image155.png"/><Relationship Id="rId150" Type="http://schemas.openxmlformats.org/officeDocument/2006/relationships/image" Target="media/image154.png"/><Relationship Id="rId15" Type="http://schemas.openxmlformats.org/officeDocument/2006/relationships/image" Target="media/image19.png"/><Relationship Id="rId149" Type="http://schemas.openxmlformats.org/officeDocument/2006/relationships/image" Target="media/image153.png"/><Relationship Id="rId148" Type="http://schemas.openxmlformats.org/officeDocument/2006/relationships/image" Target="media/image152.png"/><Relationship Id="rId147" Type="http://schemas.openxmlformats.org/officeDocument/2006/relationships/image" Target="media/image151.png"/><Relationship Id="rId146" Type="http://schemas.openxmlformats.org/officeDocument/2006/relationships/image" Target="media/image150.jpeg"/><Relationship Id="rId145" Type="http://schemas.openxmlformats.org/officeDocument/2006/relationships/image" Target="media/image149.png"/><Relationship Id="rId144" Type="http://schemas.openxmlformats.org/officeDocument/2006/relationships/image" Target="media/image148.png"/><Relationship Id="rId143" Type="http://schemas.openxmlformats.org/officeDocument/2006/relationships/image" Target="media/image147.png"/><Relationship Id="rId142" Type="http://schemas.openxmlformats.org/officeDocument/2006/relationships/image" Target="media/image146.png"/><Relationship Id="rId141" Type="http://schemas.openxmlformats.org/officeDocument/2006/relationships/image" Target="media/image145.png"/><Relationship Id="rId140" Type="http://schemas.openxmlformats.org/officeDocument/2006/relationships/image" Target="media/image144.png"/><Relationship Id="rId14" Type="http://schemas.openxmlformats.org/officeDocument/2006/relationships/image" Target="media/image18.jpeg"/><Relationship Id="rId139" Type="http://schemas.openxmlformats.org/officeDocument/2006/relationships/image" Target="media/image143.png"/><Relationship Id="rId138" Type="http://schemas.openxmlformats.org/officeDocument/2006/relationships/image" Target="media/image142.png"/><Relationship Id="rId137" Type="http://schemas.openxmlformats.org/officeDocument/2006/relationships/image" Target="media/image141.png"/><Relationship Id="rId136" Type="http://schemas.openxmlformats.org/officeDocument/2006/relationships/image" Target="media/image140.png"/><Relationship Id="rId135" Type="http://schemas.openxmlformats.org/officeDocument/2006/relationships/image" Target="media/image139.png"/><Relationship Id="rId134" Type="http://schemas.openxmlformats.org/officeDocument/2006/relationships/image" Target="media/image138.png"/><Relationship Id="rId133" Type="http://schemas.openxmlformats.org/officeDocument/2006/relationships/image" Target="media/image137.png"/><Relationship Id="rId132" Type="http://schemas.openxmlformats.org/officeDocument/2006/relationships/image" Target="media/image136.png"/><Relationship Id="rId131" Type="http://schemas.openxmlformats.org/officeDocument/2006/relationships/image" Target="media/image135.jpeg"/><Relationship Id="rId130" Type="http://schemas.openxmlformats.org/officeDocument/2006/relationships/image" Target="media/image134.jpeg"/><Relationship Id="rId13" Type="http://schemas.openxmlformats.org/officeDocument/2006/relationships/image" Target="media/image17.png"/><Relationship Id="rId129" Type="http://schemas.openxmlformats.org/officeDocument/2006/relationships/image" Target="media/image133.png"/><Relationship Id="rId128" Type="http://schemas.openxmlformats.org/officeDocument/2006/relationships/image" Target="media/image132.png"/><Relationship Id="rId127" Type="http://schemas.openxmlformats.org/officeDocument/2006/relationships/image" Target="media/image131.png"/><Relationship Id="rId126" Type="http://schemas.openxmlformats.org/officeDocument/2006/relationships/image" Target="media/image130.jpeg"/><Relationship Id="rId125" Type="http://schemas.openxmlformats.org/officeDocument/2006/relationships/image" Target="media/image129.png"/><Relationship Id="rId124" Type="http://schemas.openxmlformats.org/officeDocument/2006/relationships/image" Target="media/image128.jpeg"/><Relationship Id="rId123" Type="http://schemas.openxmlformats.org/officeDocument/2006/relationships/image" Target="media/image127.png"/><Relationship Id="rId122" Type="http://schemas.openxmlformats.org/officeDocument/2006/relationships/image" Target="media/image126.png"/><Relationship Id="rId121" Type="http://schemas.openxmlformats.org/officeDocument/2006/relationships/image" Target="media/image125.jpeg"/><Relationship Id="rId120" Type="http://schemas.openxmlformats.org/officeDocument/2006/relationships/image" Target="media/image124.jpeg"/><Relationship Id="rId12" Type="http://schemas.openxmlformats.org/officeDocument/2006/relationships/image" Target="media/image16.png"/><Relationship Id="rId119" Type="http://schemas.openxmlformats.org/officeDocument/2006/relationships/image" Target="media/image123.jpeg"/><Relationship Id="rId118" Type="http://schemas.openxmlformats.org/officeDocument/2006/relationships/image" Target="media/image122.jpeg"/><Relationship Id="rId117" Type="http://schemas.openxmlformats.org/officeDocument/2006/relationships/image" Target="media/image121.jpeg"/><Relationship Id="rId116" Type="http://schemas.openxmlformats.org/officeDocument/2006/relationships/image" Target="media/image120.jpeg"/><Relationship Id="rId115" Type="http://schemas.openxmlformats.org/officeDocument/2006/relationships/image" Target="media/image119.jpeg"/><Relationship Id="rId114" Type="http://schemas.openxmlformats.org/officeDocument/2006/relationships/image" Target="media/image118.jpeg"/><Relationship Id="rId113" Type="http://schemas.openxmlformats.org/officeDocument/2006/relationships/image" Target="media/image117.png"/><Relationship Id="rId112" Type="http://schemas.openxmlformats.org/officeDocument/2006/relationships/image" Target="media/image116.png"/><Relationship Id="rId111" Type="http://schemas.openxmlformats.org/officeDocument/2006/relationships/image" Target="media/image115.png"/><Relationship Id="rId110" Type="http://schemas.openxmlformats.org/officeDocument/2006/relationships/image" Target="media/image114.jpeg"/><Relationship Id="rId11" Type="http://schemas.openxmlformats.org/officeDocument/2006/relationships/image" Target="media/image15.png"/><Relationship Id="rId109" Type="http://schemas.openxmlformats.org/officeDocument/2006/relationships/image" Target="media/image113.jpeg"/><Relationship Id="rId108" Type="http://schemas.openxmlformats.org/officeDocument/2006/relationships/image" Target="media/image112.jpeg"/><Relationship Id="rId107" Type="http://schemas.openxmlformats.org/officeDocument/2006/relationships/image" Target="media/image111.jpeg"/><Relationship Id="rId106" Type="http://schemas.openxmlformats.org/officeDocument/2006/relationships/image" Target="media/image110.jpeg"/><Relationship Id="rId105" Type="http://schemas.openxmlformats.org/officeDocument/2006/relationships/image" Target="media/image109.jpeg"/><Relationship Id="rId104" Type="http://schemas.openxmlformats.org/officeDocument/2006/relationships/image" Target="media/image108.jpeg"/><Relationship Id="rId103" Type="http://schemas.openxmlformats.org/officeDocument/2006/relationships/image" Target="media/image107.png"/><Relationship Id="rId102" Type="http://schemas.openxmlformats.org/officeDocument/2006/relationships/image" Target="media/image106.png"/><Relationship Id="rId101" Type="http://schemas.openxmlformats.org/officeDocument/2006/relationships/image" Target="media/image105.png"/><Relationship Id="rId100" Type="http://schemas.openxmlformats.org/officeDocument/2006/relationships/image" Target="media/image104.jpeg"/><Relationship Id="rId10" Type="http://schemas.openxmlformats.org/officeDocument/2006/relationships/image" Target="media/image14.png"/><Relationship Id="rId1" Type="http://schemas.openxmlformats.org/officeDocument/2006/relationships/image" Target="media/image5.png"/></Relationships>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www.wps.cn/officeDocument/2020/cellImage" Target="cellimag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244475</xdr:colOff>
      <xdr:row>0</xdr:row>
      <xdr:rowOff>0</xdr:rowOff>
    </xdr:to>
    <xdr:pic>
      <xdr:nvPicPr>
        <xdr:cNvPr id="6" name="图片 5"/>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7" name="图片 6"/>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12" name="图片 11"/>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13" name="图片 12"/>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17" name="图片 16"/>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18" name="图片 17"/>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22" name="图片 21"/>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23" name="图片 22"/>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25" name="图片 24"/>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26" name="图片 25"/>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27" name="图片 26"/>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28" name="图片 27"/>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editAs="oneCell">
    <xdr:from>
      <xdr:col>0</xdr:col>
      <xdr:colOff>0</xdr:colOff>
      <xdr:row>0</xdr:row>
      <xdr:rowOff>0</xdr:rowOff>
    </xdr:from>
    <xdr:to>
      <xdr:col>1</xdr:col>
      <xdr:colOff>244475</xdr:colOff>
      <xdr:row>0</xdr:row>
      <xdr:rowOff>0</xdr:rowOff>
    </xdr:to>
    <xdr:pic>
      <xdr:nvPicPr>
        <xdr:cNvPr id="29" name="图片 28"/>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twoCellAnchor>
    <xdr:from>
      <xdr:col>5</xdr:col>
      <xdr:colOff>314325</xdr:colOff>
      <xdr:row>5</xdr:row>
      <xdr:rowOff>0</xdr:rowOff>
    </xdr:from>
    <xdr:to>
      <xdr:col>5</xdr:col>
      <xdr:colOff>1885315</xdr:colOff>
      <xdr:row>5</xdr:row>
      <xdr:rowOff>0</xdr:rowOff>
    </xdr:to>
    <xdr:pic>
      <xdr:nvPicPr>
        <xdr:cNvPr id="120" name="图片 3"/>
        <xdr:cNvPicPr>
          <a:picLocks noChangeAspect="1"/>
        </xdr:cNvPicPr>
      </xdr:nvPicPr>
      <xdr:blipFill>
        <a:blip r:embed="rId2"/>
        <a:stretch>
          <a:fillRect/>
        </a:stretch>
      </xdr:blipFill>
      <xdr:spPr>
        <a:xfrm>
          <a:off x="9373870" y="2762250"/>
          <a:ext cx="1410335" cy="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111125</xdr:colOff>
      <xdr:row>0</xdr:row>
      <xdr:rowOff>0</xdr:rowOff>
    </xdr:to>
    <xdr:pic>
      <xdr:nvPicPr>
        <xdr:cNvPr id="2" name="图片 1"/>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0" y="0"/>
          <a:ext cx="644525" cy="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68580</xdr:colOff>
      <xdr:row>5</xdr:row>
      <xdr:rowOff>590550</xdr:rowOff>
    </xdr:from>
    <xdr:to>
      <xdr:col>2</xdr:col>
      <xdr:colOff>0</xdr:colOff>
      <xdr:row>5</xdr:row>
      <xdr:rowOff>1422400</xdr:rowOff>
    </xdr:to>
    <xdr:pic>
      <xdr:nvPicPr>
        <xdr:cNvPr id="4" name="图片 3"/>
        <xdr:cNvPicPr>
          <a:picLocks noChangeAspect="1"/>
        </xdr:cNvPicPr>
      </xdr:nvPicPr>
      <xdr:blipFill>
        <a:blip r:embed="rId1"/>
        <a:stretch>
          <a:fillRect/>
        </a:stretch>
      </xdr:blipFill>
      <xdr:spPr>
        <a:xfrm>
          <a:off x="449580" y="7156450"/>
          <a:ext cx="1207770" cy="831850"/>
        </a:xfrm>
        <a:prstGeom prst="rect">
          <a:avLst/>
        </a:prstGeom>
        <a:noFill/>
        <a:ln w="9525">
          <a:noFill/>
        </a:ln>
      </xdr:spPr>
    </xdr:pic>
    <xdr:clientData/>
  </xdr:twoCellAnchor>
  <xdr:twoCellAnchor editAs="oneCell">
    <xdr:from>
      <xdr:col>1</xdr:col>
      <xdr:colOff>94615</xdr:colOff>
      <xdr:row>15</xdr:row>
      <xdr:rowOff>350520</xdr:rowOff>
    </xdr:from>
    <xdr:to>
      <xdr:col>2</xdr:col>
      <xdr:colOff>0</xdr:colOff>
      <xdr:row>15</xdr:row>
      <xdr:rowOff>1365885</xdr:rowOff>
    </xdr:to>
    <xdr:pic>
      <xdr:nvPicPr>
        <xdr:cNvPr id="7" name="图片 6"/>
        <xdr:cNvPicPr>
          <a:picLocks noChangeAspect="1"/>
        </xdr:cNvPicPr>
      </xdr:nvPicPr>
      <xdr:blipFill>
        <a:blip r:embed="rId2"/>
        <a:stretch>
          <a:fillRect/>
        </a:stretch>
      </xdr:blipFill>
      <xdr:spPr>
        <a:xfrm>
          <a:off x="475615" y="30208220"/>
          <a:ext cx="1181735" cy="101536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abSelected="1" topLeftCell="A23" workbookViewId="0">
      <selection activeCell="C28" sqref="C28"/>
    </sheetView>
  </sheetViews>
  <sheetFormatPr defaultColWidth="9" defaultRowHeight="16.5" outlineLevelCol="6"/>
  <cols>
    <col min="1" max="1" width="5.25" style="237" customWidth="1"/>
    <col min="2" max="2" width="12.1333333333333" style="239" customWidth="1"/>
    <col min="3" max="3" width="89.875" style="237" customWidth="1"/>
    <col min="4" max="4" width="5.63333333333333" style="240" customWidth="1"/>
    <col min="5" max="5" width="6" style="237" customWidth="1"/>
    <col min="6" max="6" width="22.6333333333333" style="237" customWidth="1"/>
    <col min="7" max="7" width="10.25" style="237" customWidth="1"/>
    <col min="8" max="16378" width="9" style="237"/>
    <col min="16379" max="16384" width="9" style="241"/>
  </cols>
  <sheetData>
    <row r="1" s="237" customFormat="1" ht="22.5" spans="1:7">
      <c r="A1" s="242" t="s">
        <v>0</v>
      </c>
      <c r="B1" s="243"/>
      <c r="C1" s="242"/>
      <c r="D1" s="242"/>
      <c r="E1" s="242"/>
      <c r="F1" s="242"/>
      <c r="G1" s="242"/>
    </row>
    <row r="2" s="237" customFormat="1" ht="25" customHeight="1" spans="1:7">
      <c r="A2" s="244" t="s">
        <v>1</v>
      </c>
      <c r="B2" s="245" t="s">
        <v>2</v>
      </c>
      <c r="C2" s="244" t="s">
        <v>3</v>
      </c>
      <c r="D2" s="244" t="s">
        <v>4</v>
      </c>
      <c r="E2" s="244" t="s">
        <v>5</v>
      </c>
      <c r="F2" s="244" t="s">
        <v>6</v>
      </c>
      <c r="G2" s="244" t="s">
        <v>7</v>
      </c>
    </row>
    <row r="3" s="237" customFormat="1" ht="17" customHeight="1" spans="1:7">
      <c r="A3" s="76">
        <v>1</v>
      </c>
      <c r="B3" s="73" t="s">
        <v>8</v>
      </c>
      <c r="C3" s="114" t="s">
        <v>9</v>
      </c>
      <c r="D3" s="76">
        <v>1</v>
      </c>
      <c r="E3" s="76" t="s">
        <v>10</v>
      </c>
      <c r="F3" s="76"/>
      <c r="G3" s="76"/>
    </row>
    <row r="4" s="237" customFormat="1" ht="84" customHeight="1" spans="1:7">
      <c r="A4" s="76">
        <v>2</v>
      </c>
      <c r="B4" s="73" t="s">
        <v>11</v>
      </c>
      <c r="C4" s="77" t="s">
        <v>12</v>
      </c>
      <c r="D4" s="76">
        <v>1</v>
      </c>
      <c r="E4" s="76" t="s">
        <v>13</v>
      </c>
      <c r="F4" s="76" t="str">
        <f>_xlfn.DISPIMG("ID_FFD67F0DF04647ED9EDD13AAC8891295",1)</f>
        <v>=DISPIMG("ID_FFD67F0DF04647ED9EDD13AAC8891295",1)</v>
      </c>
      <c r="G4" s="76"/>
    </row>
    <row r="5" s="237" customFormat="1" ht="69" customHeight="1" spans="1:7">
      <c r="A5" s="76">
        <v>3</v>
      </c>
      <c r="B5" s="73" t="s">
        <v>14</v>
      </c>
      <c r="C5" s="114" t="s">
        <v>15</v>
      </c>
      <c r="D5" s="76">
        <v>1</v>
      </c>
      <c r="E5" s="76" t="s">
        <v>16</v>
      </c>
      <c r="F5" s="76" t="str">
        <f>_xlfn.DISPIMG("ID_DC99E1B9338D4E15896C66F134EE050C",1)</f>
        <v>=DISPIMG("ID_DC99E1B9338D4E15896C66F134EE050C",1)</v>
      </c>
      <c r="G5" s="76"/>
    </row>
    <row r="6" s="238" customFormat="1" ht="384" customHeight="1" spans="1:7">
      <c r="A6" s="76">
        <v>4</v>
      </c>
      <c r="B6" s="73" t="s">
        <v>17</v>
      </c>
      <c r="C6" s="114" t="s">
        <v>18</v>
      </c>
      <c r="D6" s="73">
        <v>1</v>
      </c>
      <c r="E6" s="73" t="s">
        <v>13</v>
      </c>
      <c r="F6" s="73" t="str">
        <f>_xlfn.DISPIMG("ID_3463D0F8AC1D4414AB2F4A800AA525D7",1)</f>
        <v>=DISPIMG("ID_3463D0F8AC1D4414AB2F4A800AA525D7",1)</v>
      </c>
      <c r="G6" s="114"/>
    </row>
    <row r="7" s="238" customFormat="1" ht="147" customHeight="1" spans="1:7">
      <c r="A7" s="76">
        <v>5</v>
      </c>
      <c r="B7" s="73" t="s">
        <v>19</v>
      </c>
      <c r="C7" s="114" t="s">
        <v>20</v>
      </c>
      <c r="D7" s="73">
        <v>1</v>
      </c>
      <c r="E7" s="73" t="s">
        <v>21</v>
      </c>
      <c r="F7" s="73" t="str">
        <f>_xlfn.DISPIMG("ID_A5C0E9D1A45E4E2EB736B9435D5BA8C8",1)</f>
        <v>=DISPIMG("ID_A5C0E9D1A45E4E2EB736B9435D5BA8C8",1)</v>
      </c>
      <c r="G7" s="114"/>
    </row>
    <row r="8" s="238" customFormat="1" ht="305" customHeight="1" spans="1:7">
      <c r="A8" s="76">
        <v>6</v>
      </c>
      <c r="B8" s="73" t="s">
        <v>22</v>
      </c>
      <c r="C8" s="114" t="s">
        <v>23</v>
      </c>
      <c r="D8" s="73">
        <v>1</v>
      </c>
      <c r="E8" s="73" t="s">
        <v>21</v>
      </c>
      <c r="F8" s="73" t="str">
        <f>_xlfn.DISPIMG("ID_CDDE1ED9F60247C1B9BF8B0C56394EA6",1)</f>
        <v>=DISPIMG("ID_CDDE1ED9F60247C1B9BF8B0C56394EA6",1)</v>
      </c>
      <c r="G8" s="114"/>
    </row>
    <row r="9" s="238" customFormat="1" ht="264" customHeight="1" spans="1:7">
      <c r="A9" s="76">
        <v>7</v>
      </c>
      <c r="B9" s="73" t="s">
        <v>24</v>
      </c>
      <c r="C9" s="114" t="s">
        <v>25</v>
      </c>
      <c r="D9" s="76">
        <v>1</v>
      </c>
      <c r="E9" s="76" t="s">
        <v>13</v>
      </c>
      <c r="F9" s="76" t="str">
        <f>_xlfn.DISPIMG("ID_A6F023016A7542C785772D73C4FE0AA6",1)</f>
        <v>=DISPIMG("ID_A6F023016A7542C785772D73C4FE0AA6",1)</v>
      </c>
      <c r="G9" s="73"/>
    </row>
    <row r="10" s="237" customFormat="1" ht="202" customHeight="1" spans="1:7">
      <c r="A10" s="76">
        <v>8</v>
      </c>
      <c r="B10" s="73" t="s">
        <v>26</v>
      </c>
      <c r="C10" s="114" t="s">
        <v>27</v>
      </c>
      <c r="D10" s="76">
        <v>1</v>
      </c>
      <c r="E10" s="76" t="s">
        <v>28</v>
      </c>
      <c r="F10" s="76" t="str">
        <f>_xlfn.DISPIMG("ID_EFFC27766C774434B99B822D30DB9E85",1)</f>
        <v>=DISPIMG("ID_EFFC27766C774434B99B822D30DB9E85",1)</v>
      </c>
      <c r="G10" s="76"/>
    </row>
    <row r="11" s="237" customFormat="1" ht="117" customHeight="1" spans="1:7">
      <c r="A11" s="76">
        <v>9</v>
      </c>
      <c r="B11" s="73" t="s">
        <v>29</v>
      </c>
      <c r="C11" s="114" t="s">
        <v>30</v>
      </c>
      <c r="D11" s="76">
        <v>1</v>
      </c>
      <c r="E11" s="76" t="s">
        <v>13</v>
      </c>
      <c r="F11" s="76" t="str">
        <f>_xlfn.DISPIMG("ID_036DC7FDE1B541B5A3037C6AB9C3EC36",1)</f>
        <v>=DISPIMG("ID_036DC7FDE1B541B5A3037C6AB9C3EC36",1)</v>
      </c>
      <c r="G11" s="76"/>
    </row>
    <row r="12" s="237" customFormat="1" ht="129" customHeight="1" spans="1:7">
      <c r="A12" s="76">
        <v>10</v>
      </c>
      <c r="B12" s="73" t="s">
        <v>31</v>
      </c>
      <c r="C12" s="114" t="s">
        <v>32</v>
      </c>
      <c r="D12" s="76">
        <v>1</v>
      </c>
      <c r="E12" s="76" t="s">
        <v>16</v>
      </c>
      <c r="F12" s="76" t="str">
        <f>_xlfn.DISPIMG("ID_187CF2D0F303449387A687923A902BEE",1)</f>
        <v>=DISPIMG("ID_187CF2D0F303449387A687923A902BEE",1)</v>
      </c>
      <c r="G12" s="76"/>
    </row>
    <row r="13" s="237" customFormat="1" ht="63.75" customHeight="1" spans="1:7">
      <c r="A13" s="76">
        <v>11</v>
      </c>
      <c r="B13" s="73" t="s">
        <v>33</v>
      </c>
      <c r="C13" s="114" t="s">
        <v>34</v>
      </c>
      <c r="D13" s="76">
        <v>1</v>
      </c>
      <c r="E13" s="76" t="s">
        <v>16</v>
      </c>
      <c r="F13" s="76" t="str">
        <f>_xlfn.DISPIMG("ID_C5C724A1D417403DABF6DB772DF3DCE1",1)</f>
        <v>=DISPIMG("ID_C5C724A1D417403DABF6DB772DF3DCE1",1)</v>
      </c>
      <c r="G13" s="76"/>
    </row>
    <row r="14" s="237" customFormat="1" ht="71.25" spans="1:7">
      <c r="A14" s="76">
        <v>12</v>
      </c>
      <c r="B14" s="73" t="s">
        <v>35</v>
      </c>
      <c r="C14" s="114" t="s">
        <v>36</v>
      </c>
      <c r="D14" s="76">
        <v>1</v>
      </c>
      <c r="E14" s="76" t="s">
        <v>10</v>
      </c>
      <c r="F14" s="76" t="str">
        <f>_xlfn.DISPIMG("ID_999BFA316B624ACAAE880F767922F685",1)</f>
        <v>=DISPIMG("ID_999BFA316B624ACAAE880F767922F685",1)</v>
      </c>
      <c r="G14" s="76"/>
    </row>
    <row r="15" s="237" customFormat="1" ht="95" customHeight="1" spans="1:7">
      <c r="A15" s="76">
        <v>13</v>
      </c>
      <c r="B15" s="73" t="s">
        <v>37</v>
      </c>
      <c r="C15" s="114" t="s">
        <v>38</v>
      </c>
      <c r="D15" s="76">
        <v>1</v>
      </c>
      <c r="E15" s="76" t="s">
        <v>10</v>
      </c>
      <c r="F15" s="76" t="str">
        <f>_xlfn.DISPIMG("ID_610254417FEF467DA1CC5760EC3C3A7B",1)</f>
        <v>=DISPIMG("ID_610254417FEF467DA1CC5760EC3C3A7B",1)</v>
      </c>
      <c r="G15" s="76"/>
    </row>
    <row r="16" s="237" customFormat="1" ht="72.75" customHeight="1" spans="1:7">
      <c r="A16" s="76">
        <v>14</v>
      </c>
      <c r="B16" s="73" t="s">
        <v>39</v>
      </c>
      <c r="C16" s="114" t="s">
        <v>40</v>
      </c>
      <c r="D16" s="76">
        <v>1</v>
      </c>
      <c r="E16" s="76" t="s">
        <v>10</v>
      </c>
      <c r="F16" s="76" t="str">
        <f>_xlfn.DISPIMG("ID_AAB56E9B4999447A8407258A76AE5E3C",1)</f>
        <v>=DISPIMG("ID_AAB56E9B4999447A8407258A76AE5E3C",1)</v>
      </c>
      <c r="G16" s="76"/>
    </row>
    <row r="17" s="237" customFormat="1" ht="85.5" spans="1:7">
      <c r="A17" s="76">
        <v>15</v>
      </c>
      <c r="B17" s="73" t="s">
        <v>41</v>
      </c>
      <c r="C17" s="114" t="s">
        <v>42</v>
      </c>
      <c r="D17" s="76">
        <v>1</v>
      </c>
      <c r="E17" s="76" t="s">
        <v>10</v>
      </c>
      <c r="F17" s="76" t="str">
        <f>_xlfn.DISPIMG("ID_9F35DB5AC2CC4EC2ABF779D95C94D0BA",1)</f>
        <v>=DISPIMG("ID_9F35DB5AC2CC4EC2ABF779D95C94D0BA",1)</v>
      </c>
      <c r="G17" s="76"/>
    </row>
    <row r="18" s="237" customFormat="1" ht="60" customHeight="1" spans="1:7">
      <c r="A18" s="76">
        <v>16</v>
      </c>
      <c r="B18" s="73" t="s">
        <v>43</v>
      </c>
      <c r="C18" s="114" t="s">
        <v>44</v>
      </c>
      <c r="D18" s="76">
        <v>4</v>
      </c>
      <c r="E18" s="76" t="s">
        <v>10</v>
      </c>
      <c r="F18" s="76" t="str">
        <f>_xlfn.DISPIMG("ID_76A86041F45247BF8C0F5C0712AB20C4",1)</f>
        <v>=DISPIMG("ID_76A86041F45247BF8C0F5C0712AB20C4",1)</v>
      </c>
      <c r="G18" s="76"/>
    </row>
    <row r="19" s="237" customFormat="1" ht="60.9" spans="1:7">
      <c r="A19" s="76">
        <v>17</v>
      </c>
      <c r="B19" s="73" t="s">
        <v>45</v>
      </c>
      <c r="C19" s="114" t="s">
        <v>46</v>
      </c>
      <c r="D19" s="76">
        <v>6</v>
      </c>
      <c r="E19" s="76" t="s">
        <v>10</v>
      </c>
      <c r="F19" s="76" t="str">
        <f>_xlfn.DISPIMG("ID_C5632219C568400A983A41C22EA2FF4E",1)</f>
        <v>=DISPIMG("ID_C5632219C568400A983A41C22EA2FF4E",1)</v>
      </c>
      <c r="G19" s="76"/>
    </row>
    <row r="20" s="237" customFormat="1" ht="118" customHeight="1" spans="1:7">
      <c r="A20" s="76">
        <v>18</v>
      </c>
      <c r="B20" s="73" t="s">
        <v>47</v>
      </c>
      <c r="C20" s="77" t="s">
        <v>48</v>
      </c>
      <c r="D20" s="76">
        <v>1</v>
      </c>
      <c r="E20" s="76" t="s">
        <v>10</v>
      </c>
      <c r="F20" s="76" t="str">
        <f>_xlfn.DISPIMG("ID_B7E6F5E0290244F288CA6E1AFB51084B",1)</f>
        <v>=DISPIMG("ID_B7E6F5E0290244F288CA6E1AFB51084B",1)</v>
      </c>
      <c r="G20" s="76"/>
    </row>
    <row r="21" s="237" customFormat="1" ht="114" customHeight="1" spans="1:7">
      <c r="A21" s="76">
        <v>19</v>
      </c>
      <c r="B21" s="73" t="s">
        <v>49</v>
      </c>
      <c r="C21" s="114" t="s">
        <v>50</v>
      </c>
      <c r="D21" s="76">
        <v>46</v>
      </c>
      <c r="E21" s="76" t="s">
        <v>16</v>
      </c>
      <c r="F21" s="76" t="str">
        <f>_xlfn.DISPIMG("ID_94E755AD01A645788918A544CFE64030",1)</f>
        <v>=DISPIMG("ID_94E755AD01A645788918A544CFE64030",1)</v>
      </c>
      <c r="G21" s="76"/>
    </row>
    <row r="22" s="237" customFormat="1" ht="58.5" customHeight="1" spans="1:7">
      <c r="A22" s="76">
        <v>20</v>
      </c>
      <c r="B22" s="73" t="s">
        <v>51</v>
      </c>
      <c r="C22" s="114" t="s">
        <v>52</v>
      </c>
      <c r="D22" s="76">
        <v>46</v>
      </c>
      <c r="E22" s="76" t="s">
        <v>53</v>
      </c>
      <c r="F22" s="76" t="str">
        <f>_xlfn.DISPIMG("ID_EA4D08F27F33421C99750B3E1FF1C29E",1)</f>
        <v>=DISPIMG("ID_EA4D08F27F33421C99750B3E1FF1C29E",1)</v>
      </c>
      <c r="G22" s="76"/>
    </row>
    <row r="23" s="237" customFormat="1" ht="68.25" customHeight="1" spans="1:7">
      <c r="A23" s="76">
        <v>21</v>
      </c>
      <c r="B23" s="73" t="s">
        <v>54</v>
      </c>
      <c r="C23" s="77" t="s">
        <v>55</v>
      </c>
      <c r="D23" s="76">
        <v>46</v>
      </c>
      <c r="E23" s="76" t="s">
        <v>53</v>
      </c>
      <c r="F23" s="76" t="str">
        <f>_xlfn.DISPIMG("ID_9DE9D268CE8C48EAAE57A88EFFD0B9B2",1)</f>
        <v>=DISPIMG("ID_9DE9D268CE8C48EAAE57A88EFFD0B9B2",1)</v>
      </c>
      <c r="G23" s="76"/>
    </row>
    <row r="24" s="237" customFormat="1" ht="72.75" customHeight="1" spans="1:7">
      <c r="A24" s="76">
        <v>22</v>
      </c>
      <c r="B24" s="73" t="s">
        <v>56</v>
      </c>
      <c r="C24" s="114" t="s">
        <v>57</v>
      </c>
      <c r="D24" s="76">
        <v>6</v>
      </c>
      <c r="E24" s="76" t="s">
        <v>58</v>
      </c>
      <c r="F24" s="76" t="str">
        <f>_xlfn.DISPIMG("ID_FA8458643910497BBE94FC198A35C9AF",1)</f>
        <v>=DISPIMG("ID_FA8458643910497BBE94FC198A35C9AF",1)</v>
      </c>
      <c r="G24" s="76"/>
    </row>
    <row r="25" s="237" customFormat="1" ht="71.25" customHeight="1" spans="1:7">
      <c r="A25" s="76">
        <v>23</v>
      </c>
      <c r="B25" s="73" t="s">
        <v>59</v>
      </c>
      <c r="C25" s="114" t="s">
        <v>60</v>
      </c>
      <c r="D25" s="76">
        <v>6</v>
      </c>
      <c r="E25" s="76" t="s">
        <v>58</v>
      </c>
      <c r="F25" s="76" t="str">
        <f>_xlfn.DISPIMG("ID_1A3FCACBDEDB452EA57968CBA8965389",1)</f>
        <v>=DISPIMG("ID_1A3FCACBDEDB452EA57968CBA8965389",1)</v>
      </c>
      <c r="G25" s="76"/>
    </row>
    <row r="26" s="237" customFormat="1" ht="85.5" spans="1:7">
      <c r="A26" s="76">
        <v>24</v>
      </c>
      <c r="B26" s="73" t="s">
        <v>61</v>
      </c>
      <c r="C26" s="114" t="s">
        <v>62</v>
      </c>
      <c r="D26" s="76">
        <v>1</v>
      </c>
      <c r="E26" s="76" t="s">
        <v>63</v>
      </c>
      <c r="F26" s="76" t="str">
        <f>_xlfn.DISPIMG("ID_C326B115E53C418787F625D7CA821C5E",1)</f>
        <v>=DISPIMG("ID_C326B115E53C418787F625D7CA821C5E",1)</v>
      </c>
      <c r="G26" s="76"/>
    </row>
    <row r="27" s="237" customFormat="1" ht="94" customHeight="1" spans="1:7">
      <c r="A27" s="76">
        <v>25</v>
      </c>
      <c r="B27" s="73" t="s">
        <v>64</v>
      </c>
      <c r="C27" s="77" t="s">
        <v>65</v>
      </c>
      <c r="D27" s="76">
        <v>45</v>
      </c>
      <c r="E27" s="76" t="s">
        <v>16</v>
      </c>
      <c r="F27" s="76" t="str">
        <f>_xlfn.DISPIMG("ID_01F792B98456466F93D497491B6DBB2C",1)</f>
        <v>=DISPIMG("ID_01F792B98456466F93D497491B6DBB2C",1)</v>
      </c>
      <c r="G27" s="76"/>
    </row>
    <row r="28" s="237" customFormat="1" ht="60.95" spans="1:7">
      <c r="A28" s="76">
        <v>26</v>
      </c>
      <c r="B28" s="73" t="s">
        <v>66</v>
      </c>
      <c r="C28" s="114" t="s">
        <v>67</v>
      </c>
      <c r="D28" s="73">
        <v>45</v>
      </c>
      <c r="E28" s="76" t="s">
        <v>16</v>
      </c>
      <c r="F28" s="76" t="str">
        <f>_xlfn.DISPIMG("ID_19E42C009B7040B68D9D35C3D9714117",1)</f>
        <v>=DISPIMG("ID_19E42C009B7040B68D9D35C3D9714117",1)</v>
      </c>
      <c r="G28" s="76"/>
    </row>
    <row r="29" s="237" customFormat="1" spans="2:4">
      <c r="B29" s="239"/>
      <c r="D29" s="240"/>
    </row>
    <row r="30" s="237" customFormat="1" spans="2:4">
      <c r="B30" s="239"/>
      <c r="D30" s="240"/>
    </row>
    <row r="31" s="237" customFormat="1" spans="2:4">
      <c r="B31" s="239"/>
      <c r="D31" s="240"/>
    </row>
    <row r="32" s="237" customFormat="1" spans="2:4">
      <c r="B32" s="239"/>
      <c r="D32" s="240"/>
    </row>
    <row r="33" s="237" customFormat="1" spans="2:4">
      <c r="B33" s="239"/>
      <c r="D33" s="240"/>
    </row>
    <row r="34" s="237" customFormat="1" spans="2:4">
      <c r="B34" s="239"/>
      <c r="D34" s="240"/>
    </row>
    <row r="35" s="237" customFormat="1" spans="2:4">
      <c r="B35" s="239"/>
      <c r="D35" s="240"/>
    </row>
    <row r="36" s="237" customFormat="1" spans="2:4">
      <c r="B36" s="239"/>
      <c r="D36" s="240"/>
    </row>
    <row r="37" s="237" customFormat="1" spans="2:4">
      <c r="B37" s="239"/>
      <c r="D37" s="240"/>
    </row>
    <row r="38" s="237" customFormat="1" spans="2:4">
      <c r="B38" s="239"/>
      <c r="D38" s="240"/>
    </row>
    <row r="39" s="237" customFormat="1" spans="2:4">
      <c r="B39" s="239"/>
      <c r="D39" s="240"/>
    </row>
  </sheetData>
  <mergeCells count="1">
    <mergeCell ref="A1:G1"/>
  </mergeCells>
  <pageMargins left="0.7" right="0.7" top="0.75" bottom="0.75" header="0.3" footer="0.3"/>
  <pageSetup paperSize="9" scale="85"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0"/>
  <sheetViews>
    <sheetView topLeftCell="A67" workbookViewId="0">
      <selection activeCell="A67" sqref="$A67:$XFD67"/>
    </sheetView>
  </sheetViews>
  <sheetFormatPr defaultColWidth="9" defaultRowHeight="16.5" outlineLevelCol="6"/>
  <cols>
    <col min="1" max="1" width="7" style="211" customWidth="1"/>
    <col min="2" max="2" width="13.6333333333333" style="211" customWidth="1"/>
    <col min="3" max="3" width="71" style="211" customWidth="1"/>
    <col min="4" max="4" width="5.38333333333333" style="211" customWidth="1"/>
    <col min="5" max="5" width="5.38333333333333" style="212" customWidth="1"/>
    <col min="6" max="6" width="15.3833333333333" style="212" customWidth="1"/>
    <col min="7" max="16384" width="9" style="211"/>
  </cols>
  <sheetData>
    <row r="1" s="211" customFormat="1" ht="21" spans="1:7">
      <c r="A1" s="213" t="s">
        <v>68</v>
      </c>
      <c r="B1" s="214"/>
      <c r="C1" s="214"/>
      <c r="D1" s="214"/>
      <c r="E1" s="214"/>
      <c r="F1" s="214"/>
      <c r="G1" s="215"/>
    </row>
    <row r="2" s="211" customFormat="1" spans="1:7">
      <c r="A2" s="100" t="s">
        <v>1</v>
      </c>
      <c r="B2" s="100" t="s">
        <v>2</v>
      </c>
      <c r="C2" s="100" t="s">
        <v>3</v>
      </c>
      <c r="D2" s="100" t="s">
        <v>5</v>
      </c>
      <c r="E2" s="100" t="s">
        <v>4</v>
      </c>
      <c r="F2" s="100" t="s">
        <v>6</v>
      </c>
      <c r="G2" s="100" t="s">
        <v>7</v>
      </c>
    </row>
    <row r="3" s="211" customFormat="1" spans="1:7">
      <c r="A3" s="76">
        <v>1</v>
      </c>
      <c r="B3" s="73" t="s">
        <v>8</v>
      </c>
      <c r="C3" s="114" t="s">
        <v>9</v>
      </c>
      <c r="D3" s="76">
        <v>1</v>
      </c>
      <c r="E3" s="76" t="s">
        <v>10</v>
      </c>
      <c r="F3" s="76"/>
      <c r="G3" s="100"/>
    </row>
    <row r="4" s="211" customFormat="1" ht="66" customHeight="1" spans="1:7">
      <c r="A4" s="76">
        <v>2</v>
      </c>
      <c r="B4" s="101" t="s">
        <v>69</v>
      </c>
      <c r="C4" s="216" t="s">
        <v>70</v>
      </c>
      <c r="D4" s="101" t="s">
        <v>71</v>
      </c>
      <c r="E4" s="101">
        <v>1</v>
      </c>
      <c r="F4" s="113" t="str">
        <f>_xlfn.DISPIMG("ID_0DCFDA17D11B454EBEBFB6DA15222138",1)</f>
        <v>=DISPIMG("ID_0DCFDA17D11B454EBEBFB6DA15222138",1)</v>
      </c>
      <c r="G4" s="217"/>
    </row>
    <row r="5" s="211" customFormat="1" ht="66" customHeight="1" spans="1:7">
      <c r="A5" s="76">
        <v>3</v>
      </c>
      <c r="B5" s="101" t="s">
        <v>72</v>
      </c>
      <c r="C5" s="105" t="s">
        <v>73</v>
      </c>
      <c r="D5" s="101" t="s">
        <v>71</v>
      </c>
      <c r="E5" s="101">
        <v>24</v>
      </c>
      <c r="F5" s="113" t="str">
        <f>_xlfn.DISPIMG("ID_655FF01F7D8445E2A1384FCBCC50F151",1)</f>
        <v>=DISPIMG("ID_655FF01F7D8445E2A1384FCBCC50F151",1)</v>
      </c>
      <c r="G5" s="217"/>
    </row>
    <row r="6" s="211" customFormat="1" ht="66" customHeight="1" spans="1:7">
      <c r="A6" s="76">
        <v>4</v>
      </c>
      <c r="B6" s="101" t="s">
        <v>74</v>
      </c>
      <c r="C6" s="105" t="s">
        <v>75</v>
      </c>
      <c r="D6" s="101" t="s">
        <v>76</v>
      </c>
      <c r="E6" s="101">
        <v>49</v>
      </c>
      <c r="F6" s="113" t="str">
        <f>_xlfn.DISPIMG("ID_6B940169106C4286B494913F49108F7C",1)</f>
        <v>=DISPIMG("ID_6B940169106C4286B494913F49108F7C",1)</v>
      </c>
      <c r="G6" s="217"/>
    </row>
    <row r="7" s="211" customFormat="1" ht="66" customHeight="1" spans="1:7">
      <c r="A7" s="76">
        <v>5</v>
      </c>
      <c r="B7" s="101" t="s">
        <v>77</v>
      </c>
      <c r="C7" s="105" t="s">
        <v>78</v>
      </c>
      <c r="D7" s="101" t="s">
        <v>16</v>
      </c>
      <c r="E7" s="101">
        <v>24</v>
      </c>
      <c r="F7" s="113" t="str">
        <f>_xlfn.DISPIMG("ID_7D262F60FE684805BE00F54E5E9D3237",1)</f>
        <v>=DISPIMG("ID_7D262F60FE684805BE00F54E5E9D3237",1)</v>
      </c>
      <c r="G7" s="217"/>
    </row>
    <row r="8" s="211" customFormat="1" ht="66" customHeight="1" spans="1:7">
      <c r="A8" s="76">
        <v>6</v>
      </c>
      <c r="B8" s="101" t="s">
        <v>79</v>
      </c>
      <c r="C8" s="105" t="s">
        <v>80</v>
      </c>
      <c r="D8" s="101" t="s">
        <v>13</v>
      </c>
      <c r="E8" s="101">
        <v>1</v>
      </c>
      <c r="F8" s="113" t="str">
        <f>_xlfn.DISPIMG("ID_CB0F396FADF346E89D147025DB3A0778",1)</f>
        <v>=DISPIMG("ID_CB0F396FADF346E89D147025DB3A0778",1)</v>
      </c>
      <c r="G8" s="217"/>
    </row>
    <row r="9" s="211" customFormat="1" ht="66" customHeight="1" spans="1:7">
      <c r="A9" s="76">
        <v>7</v>
      </c>
      <c r="B9" s="101" t="s">
        <v>81</v>
      </c>
      <c r="C9" s="105" t="s">
        <v>82</v>
      </c>
      <c r="D9" s="101" t="s">
        <v>16</v>
      </c>
      <c r="E9" s="101">
        <v>24</v>
      </c>
      <c r="F9" s="113" t="str">
        <f>_xlfn.DISPIMG("ID_72759FE134ED4BD89E30D09E4EDD1609",1)</f>
        <v>=DISPIMG("ID_72759FE134ED4BD89E30D09E4EDD1609",1)</v>
      </c>
      <c r="G9" s="217"/>
    </row>
    <row r="10" s="211" customFormat="1" ht="66" customHeight="1" spans="1:7">
      <c r="A10" s="76">
        <v>8</v>
      </c>
      <c r="B10" s="101" t="s">
        <v>83</v>
      </c>
      <c r="C10" s="103" t="s">
        <v>84</v>
      </c>
      <c r="D10" s="101" t="s">
        <v>16</v>
      </c>
      <c r="E10" s="101">
        <v>12</v>
      </c>
      <c r="F10" s="113" t="str">
        <f>_xlfn.DISPIMG("ID_0227FE8F446C4CEDBBCB30629CEAF5F7",1)</f>
        <v>=DISPIMG("ID_0227FE8F446C4CEDBBCB30629CEAF5F7",1)</v>
      </c>
      <c r="G10" s="217"/>
    </row>
    <row r="11" s="211" customFormat="1" ht="66" customHeight="1" spans="1:7">
      <c r="A11" s="76">
        <v>9</v>
      </c>
      <c r="B11" s="101" t="s">
        <v>85</v>
      </c>
      <c r="C11" s="218" t="s">
        <v>86</v>
      </c>
      <c r="D11" s="101" t="s">
        <v>10</v>
      </c>
      <c r="E11" s="101">
        <v>12</v>
      </c>
      <c r="F11" s="113" t="str">
        <f>_xlfn.DISPIMG("ID_0298AC09381243B8B7E908EA823B5F19",1)</f>
        <v>=DISPIMG("ID_0298AC09381243B8B7E908EA823B5F19",1)</v>
      </c>
      <c r="G11" s="217"/>
    </row>
    <row r="12" s="211" customFormat="1" ht="28.5" spans="1:7">
      <c r="A12" s="76">
        <v>10</v>
      </c>
      <c r="B12" s="101" t="s">
        <v>87</v>
      </c>
      <c r="C12" s="103" t="s">
        <v>88</v>
      </c>
      <c r="D12" s="101" t="s">
        <v>10</v>
      </c>
      <c r="E12" s="101">
        <v>1</v>
      </c>
      <c r="F12" s="113"/>
      <c r="G12" s="217"/>
    </row>
    <row r="13" s="211" customFormat="1" ht="28.5" spans="1:7">
      <c r="A13" s="76">
        <v>11</v>
      </c>
      <c r="B13" s="101" t="s">
        <v>89</v>
      </c>
      <c r="C13" s="103" t="s">
        <v>90</v>
      </c>
      <c r="D13" s="101" t="s">
        <v>10</v>
      </c>
      <c r="E13" s="101">
        <v>1</v>
      </c>
      <c r="F13" s="113"/>
      <c r="G13" s="217"/>
    </row>
    <row r="14" s="211" customFormat="1" spans="1:7">
      <c r="A14" s="76">
        <v>12</v>
      </c>
      <c r="B14" s="101" t="s">
        <v>91</v>
      </c>
      <c r="C14" s="103" t="s">
        <v>91</v>
      </c>
      <c r="D14" s="101" t="s">
        <v>10</v>
      </c>
      <c r="E14" s="101">
        <v>1</v>
      </c>
      <c r="F14" s="113"/>
      <c r="G14" s="217"/>
    </row>
    <row r="15" s="211" customFormat="1" spans="1:7">
      <c r="A15" s="219" t="s">
        <v>92</v>
      </c>
      <c r="B15" s="220"/>
      <c r="C15" s="221"/>
      <c r="D15" s="104"/>
      <c r="E15" s="101"/>
      <c r="F15" s="222"/>
      <c r="G15" s="217"/>
    </row>
    <row r="16" s="211" customFormat="1" ht="55.15" customHeight="1" spans="1:7">
      <c r="A16" s="101">
        <v>1</v>
      </c>
      <c r="B16" s="101" t="s">
        <v>93</v>
      </c>
      <c r="C16" s="223" t="s">
        <v>94</v>
      </c>
      <c r="D16" s="101" t="s">
        <v>13</v>
      </c>
      <c r="E16" s="101">
        <v>1</v>
      </c>
      <c r="F16" s="113" t="str">
        <f>_xlfn.DISPIMG("ID_F4B67328AB314A1099F569EAB2502637",1)</f>
        <v>=DISPIMG("ID_F4B67328AB314A1099F569EAB2502637",1)</v>
      </c>
      <c r="G16" s="130"/>
    </row>
    <row r="17" s="211" customFormat="1" ht="55.15" customHeight="1" spans="1:7">
      <c r="A17" s="101">
        <v>2</v>
      </c>
      <c r="B17" s="101" t="s">
        <v>95</v>
      </c>
      <c r="C17" s="224" t="s">
        <v>96</v>
      </c>
      <c r="D17" s="101" t="s">
        <v>10</v>
      </c>
      <c r="E17" s="101">
        <v>1</v>
      </c>
      <c r="F17" s="113" t="str">
        <f>_xlfn.DISPIMG("ID_77DB89CF75E9470D9AE62AF9D15DFA6D",1)</f>
        <v>=DISPIMG("ID_77DB89CF75E9470D9AE62AF9D15DFA6D",1)</v>
      </c>
      <c r="G17" s="217"/>
    </row>
    <row r="18" s="211" customFormat="1" ht="55.15" customHeight="1" spans="1:7">
      <c r="A18" s="101">
        <v>3</v>
      </c>
      <c r="B18" s="101" t="s">
        <v>97</v>
      </c>
      <c r="C18" s="223" t="s">
        <v>98</v>
      </c>
      <c r="D18" s="101" t="s">
        <v>13</v>
      </c>
      <c r="E18" s="101">
        <v>1</v>
      </c>
      <c r="F18" s="113" t="str">
        <f>_xlfn.DISPIMG("ID_9F80F1C9697D4808B5FE4763274B8F66",1)</f>
        <v>=DISPIMG("ID_9F80F1C9697D4808B5FE4763274B8F66",1)</v>
      </c>
      <c r="G18" s="217"/>
    </row>
    <row r="19" s="211" customFormat="1" ht="55.15" customHeight="1" spans="1:7">
      <c r="A19" s="101">
        <v>4</v>
      </c>
      <c r="B19" s="225" t="s">
        <v>99</v>
      </c>
      <c r="C19" s="226" t="s">
        <v>100</v>
      </c>
      <c r="D19" s="101" t="s">
        <v>10</v>
      </c>
      <c r="E19" s="101">
        <v>1</v>
      </c>
      <c r="F19" s="113" t="str">
        <f>_xlfn.DISPIMG("ID_79E0B8B4FFF04347B3D4FEE50C992801",1)</f>
        <v>=DISPIMG("ID_79E0B8B4FFF04347B3D4FEE50C992801",1)</v>
      </c>
      <c r="G19" s="217"/>
    </row>
    <row r="20" s="211" customFormat="1" ht="55.15" customHeight="1" spans="1:7">
      <c r="A20" s="101">
        <v>5</v>
      </c>
      <c r="B20" s="101" t="s">
        <v>101</v>
      </c>
      <c r="C20" s="103" t="s">
        <v>102</v>
      </c>
      <c r="D20" s="101" t="s">
        <v>16</v>
      </c>
      <c r="E20" s="101">
        <v>1</v>
      </c>
      <c r="F20" s="113" t="str">
        <f>_xlfn.DISPIMG("ID_6922677466F34AAAAC6DA6600394D89C",1)</f>
        <v>=DISPIMG("ID_6922677466F34AAAAC6DA6600394D89C",1)</v>
      </c>
      <c r="G20" s="217"/>
    </row>
    <row r="21" s="211" customFormat="1" ht="55.15" customHeight="1" spans="1:7">
      <c r="A21" s="101">
        <v>6</v>
      </c>
      <c r="B21" s="101" t="s">
        <v>103</v>
      </c>
      <c r="C21" s="103" t="s">
        <v>104</v>
      </c>
      <c r="D21" s="101" t="s">
        <v>16</v>
      </c>
      <c r="E21" s="101">
        <v>1</v>
      </c>
      <c r="F21" s="113" t="str">
        <f>_xlfn.DISPIMG("ID_567ACBEC71544154B08890124A29EB79",1)</f>
        <v>=DISPIMG("ID_567ACBEC71544154B08890124A29EB79",1)</v>
      </c>
      <c r="G21" s="217"/>
    </row>
    <row r="22" s="211" customFormat="1" ht="55.15" customHeight="1" spans="1:7">
      <c r="A22" s="101">
        <v>7</v>
      </c>
      <c r="B22" s="101" t="s">
        <v>105</v>
      </c>
      <c r="C22" s="223" t="s">
        <v>106</v>
      </c>
      <c r="D22" s="101" t="s">
        <v>16</v>
      </c>
      <c r="E22" s="101">
        <v>1</v>
      </c>
      <c r="F22" s="113" t="str">
        <f>_xlfn.DISPIMG("ID_DCC4DC0ED3F1448782615E9A222BBADB",1)</f>
        <v>=DISPIMG("ID_DCC4DC0ED3F1448782615E9A222BBADB",1)</v>
      </c>
      <c r="G22" s="130"/>
    </row>
    <row r="23" s="211" customFormat="1" ht="55.15" customHeight="1" spans="1:7">
      <c r="A23" s="101">
        <v>8</v>
      </c>
      <c r="B23" s="101" t="s">
        <v>107</v>
      </c>
      <c r="C23" s="226" t="s">
        <v>108</v>
      </c>
      <c r="D23" s="101" t="s">
        <v>16</v>
      </c>
      <c r="E23" s="101">
        <v>1</v>
      </c>
      <c r="F23" s="113" t="str">
        <f>_xlfn.DISPIMG("ID_C9229616B1DD4200BA7E77E042D75D6C",1)</f>
        <v>=DISPIMG("ID_C9229616B1DD4200BA7E77E042D75D6C",1)</v>
      </c>
      <c r="G23" s="217"/>
    </row>
    <row r="24" s="211" customFormat="1" ht="55.15" customHeight="1" spans="1:7">
      <c r="A24" s="101">
        <v>9</v>
      </c>
      <c r="B24" s="101" t="s">
        <v>109</v>
      </c>
      <c r="C24" s="223" t="s">
        <v>110</v>
      </c>
      <c r="D24" s="101" t="s">
        <v>16</v>
      </c>
      <c r="E24" s="101">
        <v>1</v>
      </c>
      <c r="F24" s="113" t="str">
        <f>_xlfn.DISPIMG("ID_271286C603F540CF991302DC2FE0133A",1)</f>
        <v>=DISPIMG("ID_271286C603F540CF991302DC2FE0133A",1)</v>
      </c>
      <c r="G24" s="130"/>
    </row>
    <row r="25" s="211" customFormat="1" ht="55.15" customHeight="1" spans="1:7">
      <c r="A25" s="101">
        <v>10</v>
      </c>
      <c r="B25" s="101" t="s">
        <v>111</v>
      </c>
      <c r="C25" s="103" t="s">
        <v>112</v>
      </c>
      <c r="D25" s="101" t="s">
        <v>16</v>
      </c>
      <c r="E25" s="101">
        <v>1</v>
      </c>
      <c r="F25" s="113" t="str">
        <f>_xlfn.DISPIMG("ID_BED7CE230C814A6F8F5ACC07C0644AA2",1)</f>
        <v>=DISPIMG("ID_BED7CE230C814A6F8F5ACC07C0644AA2",1)</v>
      </c>
      <c r="G25" s="217"/>
    </row>
    <row r="26" s="211" customFormat="1" ht="55.15" customHeight="1" spans="1:7">
      <c r="A26" s="101">
        <v>11</v>
      </c>
      <c r="B26" s="101" t="s">
        <v>113</v>
      </c>
      <c r="C26" s="227" t="s">
        <v>114</v>
      </c>
      <c r="D26" s="101" t="s">
        <v>16</v>
      </c>
      <c r="E26" s="101">
        <v>1</v>
      </c>
      <c r="F26" s="113" t="str">
        <f>_xlfn.DISPIMG("ID_DF3104193450411F87D35A7C66BCF5D2",1)</f>
        <v>=DISPIMG("ID_DF3104193450411F87D35A7C66BCF5D2",1)</v>
      </c>
      <c r="G26" s="217"/>
    </row>
    <row r="27" s="211" customFormat="1" ht="55.15" customHeight="1" spans="1:7">
      <c r="A27" s="101">
        <v>12</v>
      </c>
      <c r="B27" s="101" t="s">
        <v>115</v>
      </c>
      <c r="C27" s="223" t="s">
        <v>116</v>
      </c>
      <c r="D27" s="101" t="s">
        <v>16</v>
      </c>
      <c r="E27" s="101">
        <v>1</v>
      </c>
      <c r="F27" s="113" t="str">
        <f>_xlfn.DISPIMG("ID_9B1E074EDAF1494D877BFC1616A242CA",1)</f>
        <v>=DISPIMG("ID_9B1E074EDAF1494D877BFC1616A242CA",1)</v>
      </c>
      <c r="G27" s="217"/>
    </row>
    <row r="28" s="211" customFormat="1" ht="55.15" customHeight="1" spans="1:7">
      <c r="A28" s="101">
        <v>13</v>
      </c>
      <c r="B28" s="101" t="s">
        <v>117</v>
      </c>
      <c r="C28" s="227" t="s">
        <v>118</v>
      </c>
      <c r="D28" s="101" t="s">
        <v>16</v>
      </c>
      <c r="E28" s="101">
        <v>1</v>
      </c>
      <c r="F28" s="113" t="str">
        <f>_xlfn.DISPIMG("ID_D06FD57019B049B59CB0140C88550B90",1)</f>
        <v>=DISPIMG("ID_D06FD57019B049B59CB0140C88550B90",1)</v>
      </c>
      <c r="G28" s="217"/>
    </row>
    <row r="29" s="211" customFormat="1" ht="55.15" customHeight="1" spans="1:7">
      <c r="A29" s="101">
        <v>14</v>
      </c>
      <c r="B29" s="101" t="s">
        <v>119</v>
      </c>
      <c r="C29" s="223" t="s">
        <v>120</v>
      </c>
      <c r="D29" s="101" t="s">
        <v>16</v>
      </c>
      <c r="E29" s="101">
        <v>1</v>
      </c>
      <c r="F29" s="113" t="str">
        <f>_xlfn.DISPIMG("ID_20117EFC349344CBBAD4C1FA1864AC86",1)</f>
        <v>=DISPIMG("ID_20117EFC349344CBBAD4C1FA1864AC86",1)</v>
      </c>
      <c r="G29" s="217"/>
    </row>
    <row r="30" s="211" customFormat="1" ht="55.15" customHeight="1" spans="1:7">
      <c r="A30" s="101">
        <v>15</v>
      </c>
      <c r="B30" s="101" t="s">
        <v>121</v>
      </c>
      <c r="C30" s="103" t="s">
        <v>122</v>
      </c>
      <c r="D30" s="101" t="s">
        <v>16</v>
      </c>
      <c r="E30" s="101">
        <v>1</v>
      </c>
      <c r="F30" s="113" t="str">
        <f>_xlfn.DISPIMG("ID_2E3038AAC8D44B1D82F7DBE2B3F3B0F0",1)</f>
        <v>=DISPIMG("ID_2E3038AAC8D44B1D82F7DBE2B3F3B0F0",1)</v>
      </c>
      <c r="G30" s="217"/>
    </row>
    <row r="31" s="211" customFormat="1" ht="55.15" customHeight="1" spans="1:7">
      <c r="A31" s="101">
        <v>16</v>
      </c>
      <c r="B31" s="101" t="s">
        <v>123</v>
      </c>
      <c r="C31" s="103" t="s">
        <v>124</v>
      </c>
      <c r="D31" s="101" t="s">
        <v>16</v>
      </c>
      <c r="E31" s="101">
        <v>1</v>
      </c>
      <c r="F31" s="113" t="str">
        <f>_xlfn.DISPIMG("ID_E84C276549F44AD49A4068FC2205CB19",1)</f>
        <v>=DISPIMG("ID_E84C276549F44AD49A4068FC2205CB19",1)</v>
      </c>
      <c r="G31" s="217"/>
    </row>
    <row r="32" s="211" customFormat="1" ht="55.15" customHeight="1" spans="1:7">
      <c r="A32" s="101">
        <v>17</v>
      </c>
      <c r="B32" s="101" t="s">
        <v>125</v>
      </c>
      <c r="C32" s="103" t="s">
        <v>126</v>
      </c>
      <c r="D32" s="101" t="s">
        <v>16</v>
      </c>
      <c r="E32" s="101">
        <v>1</v>
      </c>
      <c r="F32" s="113" t="str">
        <f>_xlfn.DISPIMG("ID_09F6152FE9E84AF19403F2B589AAE296",1)</f>
        <v>=DISPIMG("ID_09F6152FE9E84AF19403F2B589AAE296",1)</v>
      </c>
      <c r="G32" s="217"/>
    </row>
    <row r="33" s="211" customFormat="1" ht="55.15" customHeight="1" spans="1:7">
      <c r="A33" s="101">
        <v>18</v>
      </c>
      <c r="B33" s="101" t="s">
        <v>127</v>
      </c>
      <c r="C33" s="103" t="s">
        <v>128</v>
      </c>
      <c r="D33" s="101" t="s">
        <v>16</v>
      </c>
      <c r="E33" s="101">
        <v>1</v>
      </c>
      <c r="F33" s="113" t="str">
        <f>_xlfn.DISPIMG("ID_6E98E381A11148EDA59BBFF4D727885D",1)</f>
        <v>=DISPIMG("ID_6E98E381A11148EDA59BBFF4D727885D",1)</v>
      </c>
      <c r="G33" s="217"/>
    </row>
    <row r="34" s="211" customFormat="1" ht="55.15" customHeight="1" spans="1:7">
      <c r="A34" s="101">
        <v>19</v>
      </c>
      <c r="B34" s="101" t="s">
        <v>129</v>
      </c>
      <c r="C34" s="103" t="s">
        <v>130</v>
      </c>
      <c r="D34" s="101" t="s">
        <v>10</v>
      </c>
      <c r="E34" s="101">
        <v>1</v>
      </c>
      <c r="F34" s="113" t="str">
        <f>_xlfn.DISPIMG("ID_616F191F095F4B91BA3D9CD0EEC9FBA3",1)</f>
        <v>=DISPIMG("ID_616F191F095F4B91BA3D9CD0EEC9FBA3",1)</v>
      </c>
      <c r="G34" s="217"/>
    </row>
    <row r="35" s="211" customFormat="1" ht="55.15" customHeight="1" spans="1:7">
      <c r="A35" s="101">
        <v>20</v>
      </c>
      <c r="B35" s="101" t="s">
        <v>131</v>
      </c>
      <c r="C35" s="103" t="s">
        <v>132</v>
      </c>
      <c r="D35" s="101" t="s">
        <v>16</v>
      </c>
      <c r="E35" s="101">
        <v>1</v>
      </c>
      <c r="F35" s="113" t="str">
        <f>_xlfn.DISPIMG("ID_4FABD2873C7445C79523C8027BAD9B81",1)</f>
        <v>=DISPIMG("ID_4FABD2873C7445C79523C8027BAD9B81",1)</v>
      </c>
      <c r="G35" s="217"/>
    </row>
    <row r="36" s="211" customFormat="1" ht="55.15" customHeight="1" spans="1:7">
      <c r="A36" s="101">
        <v>21</v>
      </c>
      <c r="B36" s="101" t="s">
        <v>133</v>
      </c>
      <c r="C36" s="103" t="s">
        <v>134</v>
      </c>
      <c r="D36" s="101" t="s">
        <v>16</v>
      </c>
      <c r="E36" s="101">
        <v>1</v>
      </c>
      <c r="F36" s="113" t="str">
        <f>_xlfn.DISPIMG("ID_41348A955DEB4109B020C343C36AAC6B",1)</f>
        <v>=DISPIMG("ID_41348A955DEB4109B020C343C36AAC6B",1)</v>
      </c>
      <c r="G36" s="217"/>
    </row>
    <row r="37" s="211" customFormat="1" ht="55.15" customHeight="1" spans="1:7">
      <c r="A37" s="101">
        <v>22</v>
      </c>
      <c r="B37" s="228" t="s">
        <v>135</v>
      </c>
      <c r="C37" s="103" t="s">
        <v>136</v>
      </c>
      <c r="D37" s="101" t="s">
        <v>16</v>
      </c>
      <c r="E37" s="101">
        <v>1</v>
      </c>
      <c r="F37" s="229" t="str">
        <f>_xlfn.DISPIMG("ID_86E28375A7FB419A8F21B5D9763ABC73",1)</f>
        <v>=DISPIMG("ID_86E28375A7FB419A8F21B5D9763ABC73",1)</v>
      </c>
      <c r="G37" s="217"/>
    </row>
    <row r="38" s="211" customFormat="1" ht="55.15" customHeight="1" spans="1:7">
      <c r="A38" s="101">
        <v>23</v>
      </c>
      <c r="B38" s="103" t="s">
        <v>137</v>
      </c>
      <c r="C38" s="103" t="s">
        <v>138</v>
      </c>
      <c r="D38" s="101" t="s">
        <v>16</v>
      </c>
      <c r="E38" s="101">
        <v>1</v>
      </c>
      <c r="F38" s="113" t="str">
        <f>_xlfn.DISPIMG("ID_3F1FD9EFE7AE4866B8E7BEA00BAE57EC",1)</f>
        <v>=DISPIMG("ID_3F1FD9EFE7AE4866B8E7BEA00BAE57EC",1)</v>
      </c>
      <c r="G38" s="217"/>
    </row>
    <row r="39" s="211" customFormat="1" ht="55.15" customHeight="1" spans="1:7">
      <c r="A39" s="101">
        <v>24</v>
      </c>
      <c r="B39" s="103" t="s">
        <v>139</v>
      </c>
      <c r="C39" s="103" t="s">
        <v>140</v>
      </c>
      <c r="D39" s="101" t="s">
        <v>16</v>
      </c>
      <c r="E39" s="101">
        <v>1</v>
      </c>
      <c r="F39" s="113" t="str">
        <f>_xlfn.DISPIMG("ID_603277E11DF14982BEEC91065513415F",1)</f>
        <v>=DISPIMG("ID_603277E11DF14982BEEC91065513415F",1)</v>
      </c>
      <c r="G39" s="217"/>
    </row>
    <row r="40" s="211" customFormat="1" ht="55.15" customHeight="1" spans="1:7">
      <c r="A40" s="101">
        <v>25</v>
      </c>
      <c r="B40" s="101" t="s">
        <v>141</v>
      </c>
      <c r="C40" s="230" t="s">
        <v>142</v>
      </c>
      <c r="D40" s="101" t="s">
        <v>16</v>
      </c>
      <c r="E40" s="101">
        <v>1</v>
      </c>
      <c r="F40" s="113" t="str">
        <f>_xlfn.DISPIMG("ID_AD07918A4CBC4BA6A21328B051AE54B6",1)</f>
        <v>=DISPIMG("ID_AD07918A4CBC4BA6A21328B051AE54B6",1)</v>
      </c>
      <c r="G40" s="217"/>
    </row>
    <row r="41" s="211" customFormat="1" ht="55.15" customHeight="1" spans="1:7">
      <c r="A41" s="101">
        <v>26</v>
      </c>
      <c r="B41" s="231" t="s">
        <v>143</v>
      </c>
      <c r="C41" s="103" t="s">
        <v>144</v>
      </c>
      <c r="D41" s="101" t="s">
        <v>10</v>
      </c>
      <c r="E41" s="101">
        <v>2</v>
      </c>
      <c r="F41" s="232" t="str">
        <f>_xlfn.DISPIMG("ID_A94B0FCEABCD40C4AF490FC477EBA6D1",1)</f>
        <v>=DISPIMG("ID_A94B0FCEABCD40C4AF490FC477EBA6D1",1)</v>
      </c>
      <c r="G41" s="217"/>
    </row>
    <row r="42" s="211" customFormat="1" ht="55.15" customHeight="1" spans="1:7">
      <c r="A42" s="101">
        <v>27</v>
      </c>
      <c r="B42" s="231" t="s">
        <v>145</v>
      </c>
      <c r="C42" s="233" t="s">
        <v>146</v>
      </c>
      <c r="D42" s="101" t="s">
        <v>10</v>
      </c>
      <c r="E42" s="101">
        <v>1</v>
      </c>
      <c r="F42" s="232" t="str">
        <f>_xlfn.DISPIMG("ID_F127A3996E1C4C5AA60A4D8C391F0DB3",1)</f>
        <v>=DISPIMG("ID_F127A3996E1C4C5AA60A4D8C391F0DB3",1)</v>
      </c>
      <c r="G42" s="217"/>
    </row>
    <row r="43" s="211" customFormat="1" ht="55.15" customHeight="1" spans="1:7">
      <c r="A43" s="101">
        <v>28</v>
      </c>
      <c r="B43" s="231" t="s">
        <v>147</v>
      </c>
      <c r="C43" s="233" t="s">
        <v>148</v>
      </c>
      <c r="D43" s="101" t="s">
        <v>10</v>
      </c>
      <c r="E43" s="101">
        <v>1</v>
      </c>
      <c r="F43" s="232" t="str">
        <f>_xlfn.DISPIMG("ID_54B6E456E2024612B4A67D4F9E78D4C6",1)</f>
        <v>=DISPIMG("ID_54B6E456E2024612B4A67D4F9E78D4C6",1)</v>
      </c>
      <c r="G43" s="217"/>
    </row>
    <row r="44" s="211" customFormat="1" ht="55.15" customHeight="1" spans="1:7">
      <c r="A44" s="101">
        <v>29</v>
      </c>
      <c r="B44" s="231" t="s">
        <v>149</v>
      </c>
      <c r="C44" s="233" t="s">
        <v>150</v>
      </c>
      <c r="D44" s="101" t="s">
        <v>10</v>
      </c>
      <c r="E44" s="101">
        <v>1</v>
      </c>
      <c r="F44" s="232" t="str">
        <f>_xlfn.DISPIMG("ID_BDF0250E53C24532912CDF1C622C99E4",1)</f>
        <v>=DISPIMG("ID_BDF0250E53C24532912CDF1C622C99E4",1)</v>
      </c>
      <c r="G44" s="217"/>
    </row>
    <row r="45" s="211" customFormat="1" ht="55.15" customHeight="1" spans="1:7">
      <c r="A45" s="101">
        <v>30</v>
      </c>
      <c r="B45" s="231" t="s">
        <v>151</v>
      </c>
      <c r="C45" s="233" t="s">
        <v>152</v>
      </c>
      <c r="D45" s="101" t="s">
        <v>10</v>
      </c>
      <c r="E45" s="101">
        <v>1</v>
      </c>
      <c r="F45" s="232" t="str">
        <f>_xlfn.DISPIMG("ID_18095E13BA164E7AB1B372E87D045610",1)</f>
        <v>=DISPIMG("ID_18095E13BA164E7AB1B372E87D045610",1)</v>
      </c>
      <c r="G45" s="217"/>
    </row>
    <row r="46" s="211" customFormat="1" ht="55.15" customHeight="1" spans="1:7">
      <c r="A46" s="101">
        <v>31</v>
      </c>
      <c r="B46" s="228" t="s">
        <v>153</v>
      </c>
      <c r="C46" s="103" t="s">
        <v>154</v>
      </c>
      <c r="D46" s="101" t="s">
        <v>10</v>
      </c>
      <c r="E46" s="101">
        <v>1</v>
      </c>
      <c r="F46" s="229" t="str">
        <f>_xlfn.DISPIMG("ID_E5DED256979F45169093B75E8D19209D",1)</f>
        <v>=DISPIMG("ID_E5DED256979F45169093B75E8D19209D",1)</v>
      </c>
      <c r="G46" s="217"/>
    </row>
    <row r="47" s="211" customFormat="1" ht="55.15" customHeight="1" spans="1:7">
      <c r="A47" s="101">
        <v>32</v>
      </c>
      <c r="B47" s="228" t="s">
        <v>155</v>
      </c>
      <c r="C47" s="103" t="s">
        <v>156</v>
      </c>
      <c r="D47" s="101" t="s">
        <v>10</v>
      </c>
      <c r="E47" s="101">
        <v>1</v>
      </c>
      <c r="F47" s="229" t="str">
        <f>_xlfn.DISPIMG("ID_F374361FD4A34D85823072E2675D4F6C",1)</f>
        <v>=DISPIMG("ID_F374361FD4A34D85823072E2675D4F6C",1)</v>
      </c>
      <c r="G47" s="217"/>
    </row>
    <row r="48" s="211" customFormat="1" ht="55.15" customHeight="1" spans="1:7">
      <c r="A48" s="101">
        <v>33</v>
      </c>
      <c r="B48" s="228" t="s">
        <v>157</v>
      </c>
      <c r="C48" s="224" t="s">
        <v>158</v>
      </c>
      <c r="D48" s="101" t="s">
        <v>10</v>
      </c>
      <c r="E48" s="101">
        <v>1</v>
      </c>
      <c r="F48" s="229" t="str">
        <f>_xlfn.DISPIMG("ID_5A8BDA4738D14394B6EAF80A1F515DDA",1)</f>
        <v>=DISPIMG("ID_5A8BDA4738D14394B6EAF80A1F515DDA",1)</v>
      </c>
      <c r="G48" s="217"/>
    </row>
    <row r="49" s="211" customFormat="1" ht="55.15" customHeight="1" spans="1:7">
      <c r="A49" s="101">
        <v>34</v>
      </c>
      <c r="B49" s="228" t="s">
        <v>159</v>
      </c>
      <c r="C49" s="103" t="s">
        <v>160</v>
      </c>
      <c r="D49" s="101" t="s">
        <v>10</v>
      </c>
      <c r="E49" s="101">
        <v>1</v>
      </c>
      <c r="F49" s="113" t="str">
        <f>_xlfn.DISPIMG("ID_A436FED209DC4A32B6168950CA2F8588",1)</f>
        <v>=DISPIMG("ID_A436FED209DC4A32B6168950CA2F8588",1)</v>
      </c>
      <c r="G49" s="217"/>
    </row>
    <row r="50" s="211" customFormat="1" ht="55.15" customHeight="1" spans="1:7">
      <c r="A50" s="101">
        <v>35</v>
      </c>
      <c r="B50" s="228" t="s">
        <v>161</v>
      </c>
      <c r="C50" s="224" t="s">
        <v>162</v>
      </c>
      <c r="D50" s="101" t="s">
        <v>10</v>
      </c>
      <c r="E50" s="101">
        <v>1</v>
      </c>
      <c r="F50" s="229" t="str">
        <f>_xlfn.DISPIMG("ID_7441BCD388264E5DAA49B88BD29232F4",1)</f>
        <v>=DISPIMG("ID_7441BCD388264E5DAA49B88BD29232F4",1)</v>
      </c>
      <c r="G50" s="217"/>
    </row>
    <row r="51" s="211" customFormat="1" ht="55.15" customHeight="1" spans="1:7">
      <c r="A51" s="101">
        <v>36</v>
      </c>
      <c r="B51" s="228" t="s">
        <v>163</v>
      </c>
      <c r="C51" s="103" t="s">
        <v>164</v>
      </c>
      <c r="D51" s="101" t="s">
        <v>10</v>
      </c>
      <c r="E51" s="101">
        <v>1</v>
      </c>
      <c r="F51" s="229" t="str">
        <f>_xlfn.DISPIMG("ID_175B5CC34AB042E7955C2741E787C798",1)</f>
        <v>=DISPIMG("ID_175B5CC34AB042E7955C2741E787C798",1)</v>
      </c>
      <c r="G51" s="217"/>
    </row>
    <row r="52" s="211" customFormat="1" ht="55.15" customHeight="1" spans="1:7">
      <c r="A52" s="101">
        <v>37</v>
      </c>
      <c r="B52" s="228" t="s">
        <v>165</v>
      </c>
      <c r="C52" s="224" t="s">
        <v>166</v>
      </c>
      <c r="D52" s="101" t="s">
        <v>10</v>
      </c>
      <c r="E52" s="101">
        <v>1</v>
      </c>
      <c r="F52" s="229" t="str">
        <f>_xlfn.DISPIMG("ID_5D71F5C6F22B4DA7B6121C74CD141F5E",1)</f>
        <v>=DISPIMG("ID_5D71F5C6F22B4DA7B6121C74CD141F5E",1)</v>
      </c>
      <c r="G52" s="217"/>
    </row>
    <row r="53" s="211" customFormat="1" ht="55.15" customHeight="1" spans="1:7">
      <c r="A53" s="101">
        <v>38</v>
      </c>
      <c r="B53" s="228" t="s">
        <v>167</v>
      </c>
      <c r="C53" s="103" t="s">
        <v>168</v>
      </c>
      <c r="D53" s="101" t="s">
        <v>10</v>
      </c>
      <c r="E53" s="101">
        <v>1</v>
      </c>
      <c r="F53" s="229" t="str">
        <f>_xlfn.DISPIMG("ID_7217E6319814449A9E07E125B085F86C",1)</f>
        <v>=DISPIMG("ID_7217E6319814449A9E07E125B085F86C",1)</v>
      </c>
      <c r="G53" s="217"/>
    </row>
    <row r="54" s="211" customFormat="1" ht="55.15" customHeight="1" spans="1:7">
      <c r="A54" s="101">
        <v>39</v>
      </c>
      <c r="B54" s="228" t="s">
        <v>169</v>
      </c>
      <c r="C54" s="103" t="s">
        <v>170</v>
      </c>
      <c r="D54" s="101" t="s">
        <v>10</v>
      </c>
      <c r="E54" s="101">
        <v>1</v>
      </c>
      <c r="F54" s="229" t="str">
        <f>_xlfn.DISPIMG("ID_97B6390389EE4C1CA5A55E2913D9511F",1)</f>
        <v>=DISPIMG("ID_97B6390389EE4C1CA5A55E2913D9511F",1)</v>
      </c>
      <c r="G54" s="217"/>
    </row>
    <row r="55" s="211" customFormat="1" ht="55.15" customHeight="1" spans="1:7">
      <c r="A55" s="101">
        <v>40</v>
      </c>
      <c r="B55" s="228" t="s">
        <v>171</v>
      </c>
      <c r="C55" s="103" t="s">
        <v>172</v>
      </c>
      <c r="D55" s="101" t="s">
        <v>10</v>
      </c>
      <c r="E55" s="101">
        <v>1</v>
      </c>
      <c r="F55" s="229" t="str">
        <f>_xlfn.DISPIMG("ID_C92463AE791040CE98C0B8355FA139AD",1)</f>
        <v>=DISPIMG("ID_C92463AE791040CE98C0B8355FA139AD",1)</v>
      </c>
      <c r="G55" s="217"/>
    </row>
    <row r="56" s="211" customFormat="1" ht="55.15" customHeight="1" spans="1:7">
      <c r="A56" s="101">
        <v>41</v>
      </c>
      <c r="B56" s="228" t="s">
        <v>173</v>
      </c>
      <c r="C56" s="234" t="s">
        <v>174</v>
      </c>
      <c r="D56" s="101" t="s">
        <v>10</v>
      </c>
      <c r="E56" s="101">
        <v>1</v>
      </c>
      <c r="F56" s="229" t="str">
        <f>_xlfn.DISPIMG("ID_4936FD52CDB9470BBD568A04F2900DBC",1)</f>
        <v>=DISPIMG("ID_4936FD52CDB9470BBD568A04F2900DBC",1)</v>
      </c>
      <c r="G56" s="217"/>
    </row>
    <row r="57" s="211" customFormat="1" ht="55.15" customHeight="1" spans="1:7">
      <c r="A57" s="101">
        <v>42</v>
      </c>
      <c r="B57" s="228" t="s">
        <v>175</v>
      </c>
      <c r="C57" s="103" t="s">
        <v>176</v>
      </c>
      <c r="D57" s="101" t="s">
        <v>10</v>
      </c>
      <c r="E57" s="101">
        <v>1</v>
      </c>
      <c r="F57" s="229" t="str">
        <f>_xlfn.DISPIMG("ID_9A0463F7406B4A33A447C48D20FCA0EA",1)</f>
        <v>=DISPIMG("ID_9A0463F7406B4A33A447C48D20FCA0EA",1)</v>
      </c>
      <c r="G57" s="217"/>
    </row>
    <row r="58" s="211" customFormat="1" ht="55.15" customHeight="1" spans="1:7">
      <c r="A58" s="101">
        <v>43</v>
      </c>
      <c r="B58" s="228" t="s">
        <v>177</v>
      </c>
      <c r="C58" s="103" t="s">
        <v>178</v>
      </c>
      <c r="D58" s="101" t="s">
        <v>10</v>
      </c>
      <c r="E58" s="101">
        <v>1</v>
      </c>
      <c r="F58" s="229" t="str">
        <f>_xlfn.DISPIMG("ID_FA47F2B0DB0D4DBCBFFAC575F8180623",1)</f>
        <v>=DISPIMG("ID_FA47F2B0DB0D4DBCBFFAC575F8180623",1)</v>
      </c>
      <c r="G58" s="217"/>
    </row>
    <row r="59" s="211" customFormat="1" ht="55.15" customHeight="1" spans="1:7">
      <c r="A59" s="101">
        <v>44</v>
      </c>
      <c r="B59" s="228" t="s">
        <v>179</v>
      </c>
      <c r="C59" s="103" t="s">
        <v>180</v>
      </c>
      <c r="D59" s="101" t="s">
        <v>10</v>
      </c>
      <c r="E59" s="101">
        <v>1</v>
      </c>
      <c r="F59" s="229" t="str">
        <f>_xlfn.DISPIMG("ID_373F8021543144B8BCB2B09AAB087A1A",1)</f>
        <v>=DISPIMG("ID_373F8021543144B8BCB2B09AAB087A1A",1)</v>
      </c>
      <c r="G59" s="217"/>
    </row>
    <row r="60" s="211" customFormat="1" ht="55.15" customHeight="1" spans="1:7">
      <c r="A60" s="101">
        <v>45</v>
      </c>
      <c r="B60" s="228" t="s">
        <v>181</v>
      </c>
      <c r="C60" s="103" t="s">
        <v>182</v>
      </c>
      <c r="D60" s="101" t="s">
        <v>10</v>
      </c>
      <c r="E60" s="101">
        <v>1</v>
      </c>
      <c r="F60" s="229" t="str">
        <f>_xlfn.DISPIMG("ID_6F03276B9F814FE2970A17C367F112B8",1)</f>
        <v>=DISPIMG("ID_6F03276B9F814FE2970A17C367F112B8",1)</v>
      </c>
      <c r="G60" s="217"/>
    </row>
    <row r="61" s="211" customFormat="1" ht="55.15" customHeight="1" spans="1:7">
      <c r="A61" s="101">
        <v>46</v>
      </c>
      <c r="B61" s="101" t="s">
        <v>183</v>
      </c>
      <c r="C61" s="234" t="s">
        <v>184</v>
      </c>
      <c r="D61" s="101" t="s">
        <v>10</v>
      </c>
      <c r="E61" s="101">
        <v>1</v>
      </c>
      <c r="F61" s="113" t="str">
        <f>_xlfn.DISPIMG("ID_70254E1BD60B434587F3E7CBAA85CF83",1)</f>
        <v>=DISPIMG("ID_70254E1BD60B434587F3E7CBAA85CF83",1)</v>
      </c>
      <c r="G61" s="217"/>
    </row>
    <row r="62" s="211" customFormat="1" ht="55.15" customHeight="1" spans="1:7">
      <c r="A62" s="101">
        <v>47</v>
      </c>
      <c r="B62" s="101" t="s">
        <v>185</v>
      </c>
      <c r="C62" s="103" t="s">
        <v>186</v>
      </c>
      <c r="D62" s="101" t="s">
        <v>10</v>
      </c>
      <c r="E62" s="101">
        <v>1</v>
      </c>
      <c r="F62" s="113" t="str">
        <f>_xlfn.DISPIMG("ID_FD2C987CC2BA4564945A0CEBFF052B96",1)</f>
        <v>=DISPIMG("ID_FD2C987CC2BA4564945A0CEBFF052B96",1)</v>
      </c>
      <c r="G62" s="217"/>
    </row>
    <row r="63" s="211" customFormat="1" ht="55.15" customHeight="1" spans="1:7">
      <c r="A63" s="101">
        <v>48</v>
      </c>
      <c r="B63" s="231" t="s">
        <v>187</v>
      </c>
      <c r="C63" s="233" t="s">
        <v>188</v>
      </c>
      <c r="D63" s="101" t="s">
        <v>10</v>
      </c>
      <c r="E63" s="101">
        <v>1</v>
      </c>
      <c r="F63" s="232" t="str">
        <f>_xlfn.DISPIMG("ID_2430B373012F4CD0A6E921CC1E1935C4",1)</f>
        <v>=DISPIMG("ID_2430B373012F4CD0A6E921CC1E1935C4",1)</v>
      </c>
      <c r="G63" s="217"/>
    </row>
    <row r="64" s="211" customFormat="1" ht="55.15" customHeight="1" spans="1:7">
      <c r="A64" s="101">
        <v>49</v>
      </c>
      <c r="B64" s="101" t="s">
        <v>189</v>
      </c>
      <c r="C64" s="103" t="s">
        <v>190</v>
      </c>
      <c r="D64" s="101" t="s">
        <v>10</v>
      </c>
      <c r="E64" s="101">
        <v>1</v>
      </c>
      <c r="F64" s="113" t="str">
        <f>_xlfn.DISPIMG("ID_82328030AD6A4AB7AF896D404515EEBE",1)</f>
        <v>=DISPIMG("ID_82328030AD6A4AB7AF896D404515EEBE",1)</v>
      </c>
      <c r="G64" s="217"/>
    </row>
    <row r="65" s="211" customFormat="1" ht="22.9" customHeight="1" spans="1:7">
      <c r="A65" s="219" t="s">
        <v>191</v>
      </c>
      <c r="B65" s="220"/>
      <c r="C65" s="221"/>
      <c r="D65" s="235"/>
      <c r="E65" s="101"/>
      <c r="F65" s="113"/>
      <c r="G65" s="217"/>
    </row>
    <row r="66" s="211" customFormat="1" ht="55.15" customHeight="1" spans="1:7">
      <c r="A66" s="101">
        <v>1</v>
      </c>
      <c r="B66" s="101" t="s">
        <v>93</v>
      </c>
      <c r="C66" s="223" t="s">
        <v>192</v>
      </c>
      <c r="D66" s="101" t="s">
        <v>13</v>
      </c>
      <c r="E66" s="101">
        <v>12</v>
      </c>
      <c r="F66" s="113" t="str">
        <f>_xlfn.DISPIMG("ID_A270E3CF33734384B4299CBC3375FAF7",1)</f>
        <v>=DISPIMG("ID_A270E3CF33734384B4299CBC3375FAF7",1)</v>
      </c>
      <c r="G66" s="217"/>
    </row>
    <row r="67" s="211" customFormat="1" ht="260" customHeight="1" spans="1:7">
      <c r="A67" s="101">
        <v>2</v>
      </c>
      <c r="B67" s="101" t="s">
        <v>97</v>
      </c>
      <c r="C67" s="223" t="s">
        <v>193</v>
      </c>
      <c r="D67" s="101" t="s">
        <v>13</v>
      </c>
      <c r="E67" s="101">
        <v>12</v>
      </c>
      <c r="F67" s="113" t="str">
        <f>_xlfn.DISPIMG("ID_3161DB757AE744009678B0F19B3E1CE7",1)</f>
        <v>=DISPIMG("ID_3161DB757AE744009678B0F19B3E1CE7",1)</v>
      </c>
      <c r="G67" s="217"/>
    </row>
    <row r="68" s="211" customFormat="1" ht="55.15" customHeight="1" spans="1:7">
      <c r="A68" s="101">
        <v>3</v>
      </c>
      <c r="B68" s="225" t="s">
        <v>99</v>
      </c>
      <c r="C68" s="226" t="s">
        <v>100</v>
      </c>
      <c r="D68" s="101" t="s">
        <v>10</v>
      </c>
      <c r="E68" s="101">
        <v>1</v>
      </c>
      <c r="F68" s="113" t="str">
        <f>_xlfn.DISPIMG("ID_A7326BE084974D02A60684C02B180F30",1)</f>
        <v>=DISPIMG("ID_A7326BE084974D02A60684C02B180F30",1)</v>
      </c>
      <c r="G68" s="217"/>
    </row>
    <row r="69" s="211" customFormat="1" ht="55.15" customHeight="1" spans="1:7">
      <c r="A69" s="101">
        <v>4</v>
      </c>
      <c r="B69" s="101" t="s">
        <v>194</v>
      </c>
      <c r="C69" s="103" t="s">
        <v>195</v>
      </c>
      <c r="D69" s="101" t="s">
        <v>16</v>
      </c>
      <c r="E69" s="101">
        <v>12</v>
      </c>
      <c r="F69" s="113" t="str">
        <f>_xlfn.DISPIMG("ID_5F75D783335F426F8233BBCC8AC40CDB",1)</f>
        <v>=DISPIMG("ID_5F75D783335F426F8233BBCC8AC40CDB",1)</v>
      </c>
      <c r="G69" s="217"/>
    </row>
    <row r="70" s="211" customFormat="1" ht="55.15" customHeight="1" spans="1:7">
      <c r="A70" s="101">
        <v>5</v>
      </c>
      <c r="B70" s="101" t="s">
        <v>196</v>
      </c>
      <c r="C70" s="103" t="s">
        <v>197</v>
      </c>
      <c r="D70" s="101" t="s">
        <v>16</v>
      </c>
      <c r="E70" s="101">
        <v>12</v>
      </c>
      <c r="F70" s="113" t="str">
        <f>_xlfn.DISPIMG("ID_F2D0075740F1425CB2DE0D564B34D3BD",1)</f>
        <v>=DISPIMG("ID_F2D0075740F1425CB2DE0D564B34D3BD",1)</v>
      </c>
      <c r="G70" s="217"/>
    </row>
    <row r="71" s="211" customFormat="1" ht="55.15" customHeight="1" spans="1:7">
      <c r="A71" s="101">
        <v>6</v>
      </c>
      <c r="B71" s="101" t="s">
        <v>198</v>
      </c>
      <c r="C71" s="103" t="s">
        <v>199</v>
      </c>
      <c r="D71" s="101" t="s">
        <v>16</v>
      </c>
      <c r="E71" s="101">
        <v>12</v>
      </c>
      <c r="F71" s="113" t="str">
        <f>_xlfn.DISPIMG("ID_74587E6C09F1445DAF8E6B135885C8AF",1)</f>
        <v>=DISPIMG("ID_74587E6C09F1445DAF8E6B135885C8AF",1)</v>
      </c>
      <c r="G71" s="217"/>
    </row>
    <row r="72" s="211" customFormat="1" ht="55.15" customHeight="1" spans="1:7">
      <c r="A72" s="101">
        <v>7</v>
      </c>
      <c r="B72" s="101" t="s">
        <v>123</v>
      </c>
      <c r="C72" s="103" t="s">
        <v>200</v>
      </c>
      <c r="D72" s="101" t="s">
        <v>16</v>
      </c>
      <c r="E72" s="101">
        <v>12</v>
      </c>
      <c r="F72" s="113" t="str">
        <f>_xlfn.DISPIMG("ID_3CE8044D63994BC1A85A6B9825CA2311",1)</f>
        <v>=DISPIMG("ID_3CE8044D63994BC1A85A6B9825CA2311",1)</v>
      </c>
      <c r="G72" s="217"/>
    </row>
    <row r="73" s="211" customFormat="1" ht="55.15" customHeight="1" spans="1:7">
      <c r="A73" s="101">
        <v>8</v>
      </c>
      <c r="B73" s="101" t="s">
        <v>125</v>
      </c>
      <c r="C73" s="103" t="s">
        <v>201</v>
      </c>
      <c r="D73" s="101" t="s">
        <v>16</v>
      </c>
      <c r="E73" s="101">
        <v>12</v>
      </c>
      <c r="F73" s="113" t="str">
        <f>_xlfn.DISPIMG("ID_F42E761C04DB4BB7BF60D9079B069FC5",1)</f>
        <v>=DISPIMG("ID_F42E761C04DB4BB7BF60D9079B069FC5",1)</v>
      </c>
      <c r="G73" s="217"/>
    </row>
    <row r="74" s="211" customFormat="1" ht="55.15" customHeight="1" spans="1:7">
      <c r="A74" s="101">
        <v>9</v>
      </c>
      <c r="B74" s="101" t="s">
        <v>129</v>
      </c>
      <c r="C74" s="103" t="s">
        <v>202</v>
      </c>
      <c r="D74" s="101" t="s">
        <v>10</v>
      </c>
      <c r="E74" s="101">
        <v>12</v>
      </c>
      <c r="F74" s="113" t="str">
        <f>_xlfn.DISPIMG("ID_1B053734B3D74270BA055FEF5F3E2397",1)</f>
        <v>=DISPIMG("ID_1B053734B3D74270BA055FEF5F3E2397",1)</v>
      </c>
      <c r="G74" s="217"/>
    </row>
    <row r="75" s="211" customFormat="1" ht="55.15" customHeight="1" spans="1:7">
      <c r="A75" s="101">
        <v>10</v>
      </c>
      <c r="B75" s="101" t="s">
        <v>203</v>
      </c>
      <c r="C75" s="103" t="s">
        <v>204</v>
      </c>
      <c r="D75" s="101" t="s">
        <v>16</v>
      </c>
      <c r="E75" s="101">
        <v>12</v>
      </c>
      <c r="F75" s="113" t="str">
        <f>_xlfn.DISPIMG("ID_E012EE1D369E44DAA4654430B09A3DC2",1)</f>
        <v>=DISPIMG("ID_E012EE1D369E44DAA4654430B09A3DC2",1)</v>
      </c>
      <c r="G75" s="217"/>
    </row>
    <row r="76" s="211" customFormat="1" ht="55.15" customHeight="1" spans="1:7">
      <c r="A76" s="101">
        <v>11</v>
      </c>
      <c r="B76" s="101" t="s">
        <v>205</v>
      </c>
      <c r="C76" s="103" t="s">
        <v>206</v>
      </c>
      <c r="D76" s="101" t="s">
        <v>16</v>
      </c>
      <c r="E76" s="101">
        <v>12</v>
      </c>
      <c r="F76" s="113" t="str">
        <f>_xlfn.DISPIMG("ID_E7629D5E355C4E92BCB8B89EFA116FF6",1)</f>
        <v>=DISPIMG("ID_E7629D5E355C4E92BCB8B89EFA116FF6",1)</v>
      </c>
      <c r="G76" s="217"/>
    </row>
    <row r="77" s="211" customFormat="1" ht="55.15" customHeight="1" spans="1:7">
      <c r="A77" s="101">
        <v>12</v>
      </c>
      <c r="B77" s="101" t="s">
        <v>135</v>
      </c>
      <c r="C77" s="103" t="s">
        <v>207</v>
      </c>
      <c r="D77" s="101" t="s">
        <v>16</v>
      </c>
      <c r="E77" s="101">
        <v>12</v>
      </c>
      <c r="F77" s="113" t="str">
        <f>_xlfn.DISPIMG("ID_6E9E27DADF7E4313A3702B91F2D6B440",1)</f>
        <v>=DISPIMG("ID_6E9E27DADF7E4313A3702B91F2D6B440",1)</v>
      </c>
      <c r="G77" s="217"/>
    </row>
    <row r="78" s="211" customFormat="1" ht="55.15" customHeight="1" spans="1:7">
      <c r="A78" s="101">
        <v>13</v>
      </c>
      <c r="B78" s="101" t="s">
        <v>208</v>
      </c>
      <c r="C78" s="103" t="s">
        <v>209</v>
      </c>
      <c r="D78" s="101" t="s">
        <v>16</v>
      </c>
      <c r="E78" s="101">
        <v>12</v>
      </c>
      <c r="F78" s="113" t="str">
        <f>_xlfn.DISPIMG("ID_EB122C11EA7C49D589B34AA29ACC3D62",1)</f>
        <v>=DISPIMG("ID_EB122C11EA7C49D589B34AA29ACC3D62",1)</v>
      </c>
      <c r="G78" s="217"/>
    </row>
    <row r="79" s="211" customFormat="1" ht="55.15" customHeight="1" spans="1:7">
      <c r="A79" s="101">
        <v>14</v>
      </c>
      <c r="B79" s="101" t="s">
        <v>210</v>
      </c>
      <c r="C79" s="103" t="s">
        <v>211</v>
      </c>
      <c r="D79" s="101" t="s">
        <v>16</v>
      </c>
      <c r="E79" s="101">
        <v>12</v>
      </c>
      <c r="F79" s="113" t="str">
        <f>_xlfn.DISPIMG("ID_812EEE048C2243939599F4730F94B824",1)</f>
        <v>=DISPIMG("ID_812EEE048C2243939599F4730F94B824",1)</v>
      </c>
      <c r="G79" s="217"/>
    </row>
    <row r="80" s="211" customFormat="1" ht="55.15" customHeight="1" spans="1:7">
      <c r="A80" s="101">
        <v>15</v>
      </c>
      <c r="B80" s="101" t="s">
        <v>121</v>
      </c>
      <c r="C80" s="103" t="s">
        <v>122</v>
      </c>
      <c r="D80" s="101" t="s">
        <v>16</v>
      </c>
      <c r="E80" s="101">
        <v>12</v>
      </c>
      <c r="F80" s="113" t="str">
        <f>_xlfn.DISPIMG("ID_9F1DBA8258914C0FBFB6869037171C45",1)</f>
        <v>=DISPIMG("ID_9F1DBA8258914C0FBFB6869037171C45",1)</v>
      </c>
      <c r="G80" s="217"/>
    </row>
    <row r="81" s="211" customFormat="1" ht="55.15" customHeight="1" spans="1:7">
      <c r="A81" s="101">
        <v>16</v>
      </c>
      <c r="B81" s="101" t="s">
        <v>141</v>
      </c>
      <c r="C81" s="230" t="s">
        <v>212</v>
      </c>
      <c r="D81" s="101" t="s">
        <v>16</v>
      </c>
      <c r="E81" s="101">
        <v>12</v>
      </c>
      <c r="F81" s="113" t="str">
        <f>_xlfn.DISPIMG("ID_52A22C5A3CC648DFBF5BB63D3B2C1B3E",1)</f>
        <v>=DISPIMG("ID_52A22C5A3CC648DFBF5BB63D3B2C1B3E",1)</v>
      </c>
      <c r="G81" s="217"/>
    </row>
    <row r="82" s="211" customFormat="1" ht="55.15" customHeight="1" spans="1:7">
      <c r="A82" s="101">
        <v>17</v>
      </c>
      <c r="B82" s="231" t="s">
        <v>143</v>
      </c>
      <c r="C82" s="103" t="s">
        <v>144</v>
      </c>
      <c r="D82" s="101" t="s">
        <v>10</v>
      </c>
      <c r="E82" s="101">
        <v>12</v>
      </c>
      <c r="F82" s="232" t="str">
        <f>_xlfn.DISPIMG("ID_38FF6FF6F12448F8B28021A732ED96E2",1)</f>
        <v>=DISPIMG("ID_38FF6FF6F12448F8B28021A732ED96E2",1)</v>
      </c>
      <c r="G82" s="217"/>
    </row>
    <row r="83" s="211" customFormat="1" ht="55.15" customHeight="1" spans="1:7">
      <c r="A83" s="101">
        <v>18</v>
      </c>
      <c r="B83" s="231" t="s">
        <v>145</v>
      </c>
      <c r="C83" s="233" t="s">
        <v>146</v>
      </c>
      <c r="D83" s="101" t="s">
        <v>10</v>
      </c>
      <c r="E83" s="101">
        <v>12</v>
      </c>
      <c r="F83" s="232" t="str">
        <f>_xlfn.DISPIMG("ID_8BDD754A738D4BCF8D54D2BB7A6AED91",1)</f>
        <v>=DISPIMG("ID_8BDD754A738D4BCF8D54D2BB7A6AED91",1)</v>
      </c>
      <c r="G83" s="217"/>
    </row>
    <row r="84" s="211" customFormat="1" ht="55.15" customHeight="1" spans="1:7">
      <c r="A84" s="101">
        <v>19</v>
      </c>
      <c r="B84" s="231" t="s">
        <v>147</v>
      </c>
      <c r="C84" s="233" t="s">
        <v>148</v>
      </c>
      <c r="D84" s="101" t="s">
        <v>10</v>
      </c>
      <c r="E84" s="101">
        <v>12</v>
      </c>
      <c r="F84" s="232" t="str">
        <f>_xlfn.DISPIMG("ID_8B09B5B9FEF34844B7065426B3677FB8",1)</f>
        <v>=DISPIMG("ID_8B09B5B9FEF34844B7065426B3677FB8",1)</v>
      </c>
      <c r="G84" s="217"/>
    </row>
    <row r="85" s="211" customFormat="1" ht="55.15" customHeight="1" spans="1:7">
      <c r="A85" s="101">
        <v>20</v>
      </c>
      <c r="B85" s="231" t="s">
        <v>149</v>
      </c>
      <c r="C85" s="233" t="s">
        <v>150</v>
      </c>
      <c r="D85" s="101" t="s">
        <v>10</v>
      </c>
      <c r="E85" s="101">
        <v>12</v>
      </c>
      <c r="F85" s="232" t="str">
        <f>_xlfn.DISPIMG("ID_F136FCCD0CF24DCAA29DC00BE2D7932C",1)</f>
        <v>=DISPIMG("ID_F136FCCD0CF24DCAA29DC00BE2D7932C",1)</v>
      </c>
      <c r="G85" s="217"/>
    </row>
    <row r="86" s="211" customFormat="1" ht="55.15" customHeight="1" spans="1:7">
      <c r="A86" s="101">
        <v>21</v>
      </c>
      <c r="B86" s="231" t="s">
        <v>151</v>
      </c>
      <c r="C86" s="233" t="s">
        <v>152</v>
      </c>
      <c r="D86" s="101" t="s">
        <v>10</v>
      </c>
      <c r="E86" s="101">
        <v>12</v>
      </c>
      <c r="F86" s="232" t="str">
        <f>_xlfn.DISPIMG("ID_79F63F178E5841838A94ADFA69922DFB",1)</f>
        <v>=DISPIMG("ID_79F63F178E5841838A94ADFA69922DFB",1)</v>
      </c>
      <c r="G86" s="217"/>
    </row>
    <row r="87" s="211" customFormat="1" ht="55.15" customHeight="1" spans="1:7">
      <c r="A87" s="101">
        <v>22</v>
      </c>
      <c r="B87" s="228" t="s">
        <v>153</v>
      </c>
      <c r="C87" s="103" t="s">
        <v>154</v>
      </c>
      <c r="D87" s="101" t="s">
        <v>10</v>
      </c>
      <c r="E87" s="101">
        <v>12</v>
      </c>
      <c r="F87" s="229" t="str">
        <f>_xlfn.DISPIMG("ID_E5914B3618344967821D807EED54D037",1)</f>
        <v>=DISPIMG("ID_E5914B3618344967821D807EED54D037",1)</v>
      </c>
      <c r="G87" s="217"/>
    </row>
    <row r="88" s="211" customFormat="1" ht="55.15" customHeight="1" spans="1:7">
      <c r="A88" s="101">
        <v>23</v>
      </c>
      <c r="B88" s="228" t="s">
        <v>155</v>
      </c>
      <c r="C88" s="103" t="s">
        <v>156</v>
      </c>
      <c r="D88" s="101" t="s">
        <v>10</v>
      </c>
      <c r="E88" s="101">
        <v>12</v>
      </c>
      <c r="F88" s="229" t="str">
        <f>_xlfn.DISPIMG("ID_A29B1E42EAD8493297D9E1CD2B94A8AF",1)</f>
        <v>=DISPIMG("ID_A29B1E42EAD8493297D9E1CD2B94A8AF",1)</v>
      </c>
      <c r="G88" s="217"/>
    </row>
    <row r="89" s="211" customFormat="1" ht="55.15" customHeight="1" spans="1:7">
      <c r="A89" s="101">
        <v>24</v>
      </c>
      <c r="B89" s="228" t="s">
        <v>159</v>
      </c>
      <c r="C89" s="103" t="s">
        <v>160</v>
      </c>
      <c r="D89" s="101" t="s">
        <v>10</v>
      </c>
      <c r="E89" s="101">
        <v>12</v>
      </c>
      <c r="F89" s="113" t="str">
        <f>_xlfn.DISPIMG("ID_A0DB71220DD746A0B6E51A1901EAD771",1)</f>
        <v>=DISPIMG("ID_A0DB71220DD746A0B6E51A1901EAD771",1)</v>
      </c>
      <c r="G89" s="217"/>
    </row>
    <row r="90" s="211" customFormat="1" ht="55.15" customHeight="1" spans="1:7">
      <c r="A90" s="101">
        <v>25</v>
      </c>
      <c r="B90" s="228" t="s">
        <v>161</v>
      </c>
      <c r="C90" s="224" t="s">
        <v>162</v>
      </c>
      <c r="D90" s="101" t="s">
        <v>10</v>
      </c>
      <c r="E90" s="101">
        <v>12</v>
      </c>
      <c r="F90" s="229" t="str">
        <f>_xlfn.DISPIMG("ID_25F0DABD093A4D478B49224A3648277E",1)</f>
        <v>=DISPIMG("ID_25F0DABD093A4D478B49224A3648277E",1)</v>
      </c>
      <c r="G90" s="217"/>
    </row>
    <row r="91" s="211" customFormat="1" ht="55.15" customHeight="1" spans="1:7">
      <c r="A91" s="101">
        <v>26</v>
      </c>
      <c r="B91" s="228" t="s">
        <v>165</v>
      </c>
      <c r="C91" s="224" t="s">
        <v>213</v>
      </c>
      <c r="D91" s="101" t="s">
        <v>10</v>
      </c>
      <c r="E91" s="101">
        <v>12</v>
      </c>
      <c r="F91" s="229" t="str">
        <f>_xlfn.DISPIMG("ID_FCD261A6F5344AFDBA5CE1C23C3429BB",1)</f>
        <v>=DISPIMG("ID_FCD261A6F5344AFDBA5CE1C23C3429BB",1)</v>
      </c>
      <c r="G91" s="217"/>
    </row>
    <row r="92" s="211" customFormat="1" ht="55.15" customHeight="1" spans="1:7">
      <c r="A92" s="101">
        <v>27</v>
      </c>
      <c r="B92" s="228" t="s">
        <v>167</v>
      </c>
      <c r="C92" s="103" t="s">
        <v>168</v>
      </c>
      <c r="D92" s="101" t="s">
        <v>10</v>
      </c>
      <c r="E92" s="101">
        <v>12</v>
      </c>
      <c r="F92" s="229" t="str">
        <f>_xlfn.DISPIMG("ID_00C14F523A0C4BF8911061F264A735FD",1)</f>
        <v>=DISPIMG("ID_00C14F523A0C4BF8911061F264A735FD",1)</v>
      </c>
      <c r="G92" s="217"/>
    </row>
    <row r="93" s="211" customFormat="1" ht="55.15" customHeight="1" spans="1:7">
      <c r="A93" s="101">
        <v>28</v>
      </c>
      <c r="B93" s="228" t="s">
        <v>171</v>
      </c>
      <c r="C93" s="103" t="s">
        <v>172</v>
      </c>
      <c r="D93" s="101" t="s">
        <v>10</v>
      </c>
      <c r="E93" s="101">
        <v>12</v>
      </c>
      <c r="F93" s="229" t="str">
        <f>_xlfn.DISPIMG("ID_C9B7A34AD9BE44C68EE8E533E95784EC",1)</f>
        <v>=DISPIMG("ID_C9B7A34AD9BE44C68EE8E533E95784EC",1)</v>
      </c>
      <c r="G93" s="217"/>
    </row>
    <row r="94" s="211" customFormat="1" ht="55.15" customHeight="1" spans="1:7">
      <c r="A94" s="101">
        <v>29</v>
      </c>
      <c r="B94" s="228" t="s">
        <v>173</v>
      </c>
      <c r="C94" s="234" t="s">
        <v>174</v>
      </c>
      <c r="D94" s="101" t="s">
        <v>10</v>
      </c>
      <c r="E94" s="101">
        <v>12</v>
      </c>
      <c r="F94" s="229" t="str">
        <f>_xlfn.DISPIMG("ID_08F1C8EA056A43718EFED4F41C5600D1",1)</f>
        <v>=DISPIMG("ID_08F1C8EA056A43718EFED4F41C5600D1",1)</v>
      </c>
      <c r="G94" s="217"/>
    </row>
    <row r="95" s="211" customFormat="1" ht="55.15" customHeight="1" spans="1:7">
      <c r="A95" s="101">
        <v>30</v>
      </c>
      <c r="B95" s="228" t="s">
        <v>179</v>
      </c>
      <c r="C95" s="103" t="s">
        <v>180</v>
      </c>
      <c r="D95" s="101" t="s">
        <v>10</v>
      </c>
      <c r="E95" s="101">
        <v>12</v>
      </c>
      <c r="F95" s="229" t="str">
        <f>_xlfn.DISPIMG("ID_A593515CEA4D46648B8026B659E63572",1)</f>
        <v>=DISPIMG("ID_A593515CEA4D46648B8026B659E63572",1)</v>
      </c>
      <c r="G95" s="217"/>
    </row>
    <row r="96" s="211" customFormat="1" ht="55.15" customHeight="1" spans="1:7">
      <c r="A96" s="101">
        <v>31</v>
      </c>
      <c r="B96" s="228" t="s">
        <v>181</v>
      </c>
      <c r="C96" s="103" t="s">
        <v>182</v>
      </c>
      <c r="D96" s="101" t="s">
        <v>10</v>
      </c>
      <c r="E96" s="101">
        <v>12</v>
      </c>
      <c r="F96" s="229" t="str">
        <f>_xlfn.DISPIMG("ID_0A2EC4FC1F0146CAA2FD8E74CA9F633D",1)</f>
        <v>=DISPIMG("ID_0A2EC4FC1F0146CAA2FD8E74CA9F633D",1)</v>
      </c>
      <c r="G96" s="217"/>
    </row>
    <row r="97" s="211" customFormat="1" ht="55.15" customHeight="1" spans="1:7">
      <c r="A97" s="101">
        <v>32</v>
      </c>
      <c r="B97" s="101" t="s">
        <v>183</v>
      </c>
      <c r="C97" s="234" t="s">
        <v>184</v>
      </c>
      <c r="D97" s="101" t="s">
        <v>10</v>
      </c>
      <c r="E97" s="101">
        <v>12</v>
      </c>
      <c r="F97" s="113" t="str">
        <f>_xlfn.DISPIMG("ID_4AA08DD31EC74298BBE575F85C856223",1)</f>
        <v>=DISPIMG("ID_4AA08DD31EC74298BBE575F85C856223",1)</v>
      </c>
      <c r="G97" s="217"/>
    </row>
    <row r="98" s="211" customFormat="1" ht="55.15" customHeight="1" spans="1:7">
      <c r="A98" s="101">
        <v>33</v>
      </c>
      <c r="B98" s="101" t="s">
        <v>185</v>
      </c>
      <c r="C98" s="103" t="s">
        <v>186</v>
      </c>
      <c r="D98" s="101" t="s">
        <v>10</v>
      </c>
      <c r="E98" s="101">
        <v>12</v>
      </c>
      <c r="F98" s="113" t="str">
        <f>_xlfn.DISPIMG("ID_6C74F146F2714390A9600A81E05EEA3E",1)</f>
        <v>=DISPIMG("ID_6C74F146F2714390A9600A81E05EEA3E",1)</v>
      </c>
      <c r="G98" s="217"/>
    </row>
    <row r="99" s="211" customFormat="1" ht="55.15" customHeight="1" spans="1:7">
      <c r="A99" s="101">
        <v>34</v>
      </c>
      <c r="B99" s="101" t="s">
        <v>189</v>
      </c>
      <c r="C99" s="103" t="s">
        <v>190</v>
      </c>
      <c r="D99" s="101" t="s">
        <v>10</v>
      </c>
      <c r="E99" s="101">
        <v>12</v>
      </c>
      <c r="F99" s="113" t="str">
        <f>_xlfn.DISPIMG("ID_5855E887F65540F9BBAF08A6CD1BDC20",1)</f>
        <v>=DISPIMG("ID_5855E887F65540F9BBAF08A6CD1BDC20",1)</v>
      </c>
      <c r="G99" s="217"/>
    </row>
    <row r="100" s="211" customFormat="1" ht="27" customHeight="1" spans="1:7">
      <c r="A100" s="106">
        <v>35</v>
      </c>
      <c r="B100" s="73" t="s">
        <v>214</v>
      </c>
      <c r="C100" s="114" t="s">
        <v>215</v>
      </c>
      <c r="D100" s="73">
        <v>5</v>
      </c>
      <c r="E100" s="73" t="s">
        <v>16</v>
      </c>
      <c r="F100" s="8"/>
      <c r="G100" s="236"/>
    </row>
  </sheetData>
  <mergeCells count="3">
    <mergeCell ref="A1:G1"/>
    <mergeCell ref="A15:C15"/>
    <mergeCell ref="A65:C65"/>
  </mergeCells>
  <pageMargins left="0.7" right="0.7" top="0.75" bottom="0.75" header="0.3" footer="0.3"/>
  <pageSetup paperSize="9" scale="85"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9" workbookViewId="0">
      <selection activeCell="F19" sqref="F19"/>
    </sheetView>
  </sheetViews>
  <sheetFormatPr defaultColWidth="8.89166666666667" defaultRowHeight="13.5"/>
  <cols>
    <col min="1" max="1" width="5" style="187" customWidth="1"/>
    <col min="2" max="2" width="16.75" style="187" customWidth="1"/>
    <col min="3" max="3" width="12.6666666666667" style="188" customWidth="1"/>
    <col min="4" max="4" width="11.3333333333333" style="187" customWidth="1"/>
    <col min="5" max="5" width="14.75" style="187" customWidth="1"/>
    <col min="6" max="6" width="69.75" style="187" customWidth="1"/>
    <col min="7" max="7" width="10.6333333333333" style="189" customWidth="1"/>
    <col min="8" max="8" width="6.225" style="187" customWidth="1"/>
    <col min="9" max="9" width="6.10833333333333" style="187" customWidth="1"/>
    <col min="10" max="16384" width="8.89166666666667" style="187"/>
  </cols>
  <sheetData>
    <row r="1" s="46" customFormat="1" ht="40" customHeight="1" spans="1:9">
      <c r="A1" s="190" t="s">
        <v>216</v>
      </c>
      <c r="B1" s="191"/>
      <c r="C1" s="191"/>
      <c r="D1" s="192"/>
      <c r="E1" s="191"/>
      <c r="F1" s="191"/>
      <c r="G1" s="191"/>
      <c r="H1" s="191"/>
      <c r="I1" s="191"/>
    </row>
    <row r="2" s="186" customFormat="1" ht="30" customHeight="1" spans="1:9">
      <c r="A2" s="50" t="s">
        <v>217</v>
      </c>
      <c r="B2" s="50" t="s">
        <v>218</v>
      </c>
      <c r="C2" s="51" t="s">
        <v>219</v>
      </c>
      <c r="D2" s="51" t="s">
        <v>220</v>
      </c>
      <c r="E2" s="50" t="s">
        <v>221</v>
      </c>
      <c r="F2" s="50" t="s">
        <v>222</v>
      </c>
      <c r="G2" s="50" t="s">
        <v>223</v>
      </c>
      <c r="H2" s="50" t="s">
        <v>5</v>
      </c>
      <c r="I2" s="50" t="s">
        <v>4</v>
      </c>
    </row>
    <row r="3" s="46" customFormat="1" ht="111" customHeight="1" spans="1:9">
      <c r="A3" s="193">
        <v>1</v>
      </c>
      <c r="B3" s="194" t="s">
        <v>224</v>
      </c>
      <c r="C3" s="195" t="s">
        <v>225</v>
      </c>
      <c r="D3" s="193" t="s">
        <v>226</v>
      </c>
      <c r="E3" s="41" t="str">
        <f>_xlfn.DISPIMG("ID_CFFB93DCF828430294512ECEB5D5E488",1)</f>
        <v>=DISPIMG("ID_CFFB93DCF828430294512ECEB5D5E488",1)</v>
      </c>
      <c r="F3" s="195" t="s">
        <v>227</v>
      </c>
      <c r="G3" s="196" t="s">
        <v>228</v>
      </c>
      <c r="H3" s="65" t="s">
        <v>71</v>
      </c>
      <c r="I3" s="65">
        <v>1</v>
      </c>
    </row>
    <row r="4" s="46" customFormat="1" ht="80" customHeight="1" spans="1:9">
      <c r="A4" s="193"/>
      <c r="B4" s="194"/>
      <c r="C4" s="195"/>
      <c r="D4" s="178" t="s">
        <v>229</v>
      </c>
      <c r="E4" s="40" t="str">
        <f>_xlfn.DISPIMG("ID_4484D31038E14C47877238F7E5E08009",1)</f>
        <v>=DISPIMG("ID_4484D31038E14C47877238F7E5E08009",1)</v>
      </c>
      <c r="F4" s="195" t="s">
        <v>230</v>
      </c>
      <c r="G4" s="196" t="s">
        <v>228</v>
      </c>
      <c r="H4" s="65" t="s">
        <v>58</v>
      </c>
      <c r="I4" s="65">
        <v>1</v>
      </c>
    </row>
    <row r="5" s="46" customFormat="1" ht="256" customHeight="1" spans="1:9">
      <c r="A5" s="193">
        <v>2</v>
      </c>
      <c r="B5" s="194"/>
      <c r="C5" s="195"/>
      <c r="D5" s="193" t="s">
        <v>231</v>
      </c>
      <c r="E5" s="24" t="str">
        <f>_xlfn.DISPIMG("ID_77F43921F862402CAE79D187551E92C3",1)</f>
        <v>=DISPIMG("ID_77F43921F862402CAE79D187551E92C3",1)</v>
      </c>
      <c r="F5" s="197" t="s">
        <v>232</v>
      </c>
      <c r="G5" s="196" t="s">
        <v>228</v>
      </c>
      <c r="H5" s="65" t="s">
        <v>13</v>
      </c>
      <c r="I5" s="65">
        <v>1</v>
      </c>
    </row>
    <row r="6" s="46" customFormat="1" ht="409" customHeight="1" spans="1:9">
      <c r="A6" s="193">
        <v>3</v>
      </c>
      <c r="B6" s="194"/>
      <c r="C6" s="195"/>
      <c r="D6" s="193" t="s">
        <v>233</v>
      </c>
      <c r="E6" s="65" t="str">
        <f>_xlfn.DISPIMG("ID_100532127D5445939BE48BFC89B485A2",1)</f>
        <v>=DISPIMG("ID_100532127D5445939BE48BFC89B485A2",1)</v>
      </c>
      <c r="F6" s="195" t="s">
        <v>234</v>
      </c>
      <c r="G6" s="129" t="s">
        <v>235</v>
      </c>
      <c r="H6" s="65" t="s">
        <v>13</v>
      </c>
      <c r="I6" s="65">
        <v>1</v>
      </c>
    </row>
    <row r="7" s="46" customFormat="1" ht="373" customHeight="1" spans="1:9">
      <c r="A7" s="193">
        <v>4</v>
      </c>
      <c r="B7" s="194"/>
      <c r="C7" s="195"/>
      <c r="D7" s="193" t="s">
        <v>236</v>
      </c>
      <c r="E7" s="65" t="str">
        <f>_xlfn.DISPIMG("ID_1767DE1110C944DF86350D94FA599627",1)</f>
        <v>=DISPIMG("ID_1767DE1110C944DF86350D94FA599627",1)</v>
      </c>
      <c r="F7" s="195" t="s">
        <v>237</v>
      </c>
      <c r="G7" s="129" t="s">
        <v>238</v>
      </c>
      <c r="H7" s="65" t="s">
        <v>239</v>
      </c>
      <c r="I7" s="65">
        <v>1</v>
      </c>
    </row>
    <row r="8" s="46" customFormat="1" ht="168" customHeight="1" spans="1:9">
      <c r="A8" s="193">
        <v>5</v>
      </c>
      <c r="B8" s="194"/>
      <c r="C8" s="195"/>
      <c r="D8" s="198" t="s">
        <v>240</v>
      </c>
      <c r="E8" s="199" t="str">
        <f>_xlfn.DISPIMG("ID_FB2CE84AD7034C9796DEFB1954237AB3",1)</f>
        <v>=DISPIMG("ID_FB2CE84AD7034C9796DEFB1954237AB3",1)</v>
      </c>
      <c r="F8" s="195" t="s">
        <v>241</v>
      </c>
      <c r="G8" s="200" t="s">
        <v>242</v>
      </c>
      <c r="H8" s="201" t="s">
        <v>10</v>
      </c>
      <c r="I8" s="201">
        <v>1</v>
      </c>
    </row>
    <row r="9" s="46" customFormat="1" ht="409" customHeight="1" spans="1:9">
      <c r="A9" s="193">
        <v>6</v>
      </c>
      <c r="B9" s="194"/>
      <c r="C9" s="195"/>
      <c r="D9" s="193" t="s">
        <v>243</v>
      </c>
      <c r="E9" s="65" t="str">
        <f>_xlfn.DISPIMG("ID_7DD67DECE7844F6585891BFE0F933CD0",1)</f>
        <v>=DISPIMG("ID_7DD67DECE7844F6585891BFE0F933CD0",1)</v>
      </c>
      <c r="F9" s="195" t="s">
        <v>244</v>
      </c>
      <c r="G9" s="129" t="s">
        <v>245</v>
      </c>
      <c r="H9" s="65" t="s">
        <v>13</v>
      </c>
      <c r="I9" s="65">
        <v>1</v>
      </c>
    </row>
    <row r="10" s="46" customFormat="1" ht="70" customHeight="1" spans="1:9">
      <c r="A10" s="193">
        <v>7</v>
      </c>
      <c r="B10" s="194"/>
      <c r="C10" s="195"/>
      <c r="D10" s="193" t="s">
        <v>246</v>
      </c>
      <c r="E10" s="202" t="str">
        <f>_xlfn.DISPIMG("ID_DC08FE125DCE4EF49298CB42403209E5",1)</f>
        <v>=DISPIMG("ID_DC08FE125DCE4EF49298CB42403209E5",1)</v>
      </c>
      <c r="F10" s="195" t="s">
        <v>247</v>
      </c>
      <c r="G10" s="196" t="s">
        <v>228</v>
      </c>
      <c r="H10" s="65" t="s">
        <v>10</v>
      </c>
      <c r="I10" s="65">
        <v>1</v>
      </c>
    </row>
    <row r="11" s="46" customFormat="1" ht="70" customHeight="1" spans="1:9">
      <c r="A11" s="193">
        <v>8</v>
      </c>
      <c r="B11" s="194"/>
      <c r="C11" s="195"/>
      <c r="D11" s="193" t="s">
        <v>248</v>
      </c>
      <c r="E11" s="202" t="str">
        <f>_xlfn.DISPIMG("ID_17D91FFA7FF44CF0A681622032EF964D",1)</f>
        <v>=DISPIMG("ID_17D91FFA7FF44CF0A681622032EF964D",1)</v>
      </c>
      <c r="F11" s="203" t="s">
        <v>249</v>
      </c>
      <c r="G11" s="196" t="s">
        <v>228</v>
      </c>
      <c r="H11" s="65" t="s">
        <v>53</v>
      </c>
      <c r="I11" s="65">
        <v>1</v>
      </c>
    </row>
    <row r="12" s="46" customFormat="1" ht="55" customHeight="1" spans="1:9">
      <c r="A12" s="193">
        <v>9</v>
      </c>
      <c r="B12" s="194"/>
      <c r="C12" s="195"/>
      <c r="D12" s="193" t="s">
        <v>250</v>
      </c>
      <c r="E12" s="193" t="str">
        <f>_xlfn.DISPIMG("ID_9FF4E8AEB4534DF3891B0118D2BC7BA8",1)</f>
        <v>=DISPIMG("ID_9FF4E8AEB4534DF3891B0118D2BC7BA8",1)</v>
      </c>
      <c r="F12" s="195" t="s">
        <v>251</v>
      </c>
      <c r="G12" s="196" t="s">
        <v>228</v>
      </c>
      <c r="H12" s="65" t="s">
        <v>16</v>
      </c>
      <c r="I12" s="65">
        <v>1</v>
      </c>
    </row>
    <row r="13" s="46" customFormat="1" ht="55" customHeight="1" spans="1:9">
      <c r="A13" s="193">
        <v>10</v>
      </c>
      <c r="B13" s="194"/>
      <c r="C13" s="195"/>
      <c r="D13" s="193" t="s">
        <v>252</v>
      </c>
      <c r="E13" s="193" t="str">
        <f>_xlfn.DISPIMG("ID_F3ECB5C9B3FC4C7B9B73216956AE4EA1",1)</f>
        <v>=DISPIMG("ID_F3ECB5C9B3FC4C7B9B73216956AE4EA1",1)</v>
      </c>
      <c r="F13" s="195" t="s">
        <v>253</v>
      </c>
      <c r="G13" s="193" t="s">
        <v>254</v>
      </c>
      <c r="H13" s="65" t="s">
        <v>10</v>
      </c>
      <c r="I13" s="65">
        <v>1</v>
      </c>
    </row>
    <row r="14" s="46" customFormat="1" ht="61" customHeight="1" spans="1:9">
      <c r="A14" s="193">
        <v>11</v>
      </c>
      <c r="B14" s="204"/>
      <c r="C14" s="195"/>
      <c r="D14" s="193" t="s">
        <v>255</v>
      </c>
      <c r="E14" s="193" t="str">
        <f>_xlfn.DISPIMG("ID_30CBA93391CE445A84EC78874D8EDCF1",1)</f>
        <v>=DISPIMG("ID_30CBA93391CE445A84EC78874D8EDCF1",1)</v>
      </c>
      <c r="F14" s="195" t="s">
        <v>256</v>
      </c>
      <c r="G14" s="193" t="s">
        <v>254</v>
      </c>
      <c r="H14" s="65" t="s">
        <v>257</v>
      </c>
      <c r="I14" s="65">
        <v>2</v>
      </c>
    </row>
    <row r="15" s="46" customFormat="1" ht="164" customHeight="1" spans="1:9">
      <c r="A15" s="205">
        <v>12</v>
      </c>
      <c r="B15" s="206" t="s">
        <v>258</v>
      </c>
      <c r="C15" s="207" t="s">
        <v>259</v>
      </c>
      <c r="D15" s="205" t="s">
        <v>260</v>
      </c>
      <c r="E15" s="208" t="str">
        <f>_xlfn.DISPIMG("ID_551C54BBC0F6424DA013CE59D87EA18C",1)</f>
        <v>=DISPIMG("ID_551C54BBC0F6424DA013CE59D87EA18C",1)</v>
      </c>
      <c r="F15" s="209" t="s">
        <v>261</v>
      </c>
      <c r="G15" s="193" t="s">
        <v>262</v>
      </c>
      <c r="H15" s="65" t="s">
        <v>10</v>
      </c>
      <c r="I15" s="65">
        <v>1</v>
      </c>
    </row>
    <row r="16" s="46" customFormat="1" ht="409" customHeight="1" spans="1:9">
      <c r="A16" s="193">
        <v>13</v>
      </c>
      <c r="B16" s="206"/>
      <c r="C16" s="207"/>
      <c r="D16" s="193" t="s">
        <v>263</v>
      </c>
      <c r="E16" s="193" t="str">
        <f>_xlfn.DISPIMG("ID_496E5AC7D8474D5EB135C1C5F3307F3F",1)</f>
        <v>=DISPIMG("ID_496E5AC7D8474D5EB135C1C5F3307F3F",1)</v>
      </c>
      <c r="F16" s="195" t="s">
        <v>264</v>
      </c>
      <c r="G16" s="193" t="s">
        <v>265</v>
      </c>
      <c r="H16" s="65" t="s">
        <v>10</v>
      </c>
      <c r="I16" s="65">
        <v>1</v>
      </c>
    </row>
    <row r="17" s="46" customFormat="1" ht="63" customHeight="1" spans="1:9">
      <c r="A17" s="205">
        <v>14</v>
      </c>
      <c r="B17" s="206"/>
      <c r="C17" s="207"/>
      <c r="D17" s="193" t="s">
        <v>252</v>
      </c>
      <c r="E17" s="193" t="str">
        <f>_xlfn.DISPIMG("ID_ECDAB27B7B934F3C9A8C0C5D0F09A9FF",1)</f>
        <v>=DISPIMG("ID_ECDAB27B7B934F3C9A8C0C5D0F09A9FF",1)</v>
      </c>
      <c r="F17" s="195" t="s">
        <v>253</v>
      </c>
      <c r="G17" s="193" t="s">
        <v>254</v>
      </c>
      <c r="H17" s="65" t="s">
        <v>10</v>
      </c>
      <c r="I17" s="65">
        <v>1</v>
      </c>
    </row>
    <row r="18" s="46" customFormat="1" ht="62" customHeight="1" spans="1:9">
      <c r="A18" s="193">
        <v>15</v>
      </c>
      <c r="B18" s="206"/>
      <c r="C18" s="207"/>
      <c r="D18" s="193" t="s">
        <v>255</v>
      </c>
      <c r="E18" s="193" t="str">
        <f>_xlfn.DISPIMG("ID_0F7983FCE38A4784ACBDB113EA4A441D",1)</f>
        <v>=DISPIMG("ID_0F7983FCE38A4784ACBDB113EA4A441D",1)</v>
      </c>
      <c r="F18" s="195" t="s">
        <v>266</v>
      </c>
      <c r="G18" s="193" t="s">
        <v>254</v>
      </c>
      <c r="H18" s="65" t="s">
        <v>257</v>
      </c>
      <c r="I18" s="65">
        <v>2</v>
      </c>
    </row>
    <row r="19" s="46" customFormat="1" ht="94" customHeight="1" spans="1:9">
      <c r="A19" s="205">
        <v>16</v>
      </c>
      <c r="B19" s="194"/>
      <c r="C19" s="210"/>
      <c r="D19" s="193" t="s">
        <v>267</v>
      </c>
      <c r="E19" s="65"/>
      <c r="F19" s="195" t="s">
        <v>268</v>
      </c>
      <c r="G19" s="193"/>
      <c r="H19" s="193" t="s">
        <v>269</v>
      </c>
      <c r="I19" s="193">
        <v>1</v>
      </c>
    </row>
  </sheetData>
  <mergeCells count="5">
    <mergeCell ref="A1:I1"/>
    <mergeCell ref="B3:B14"/>
    <mergeCell ref="B15:B18"/>
    <mergeCell ref="C3:C14"/>
    <mergeCell ref="C15:C18"/>
  </mergeCells>
  <pageMargins left="0.7" right="0.7" top="0.75" bottom="0.75" header="0.3" footer="0.3"/>
  <pageSetup paperSize="9" scale="85" orientation="landscape"/>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5"/>
  <sheetViews>
    <sheetView topLeftCell="A93" workbookViewId="0">
      <selection activeCell="C95" sqref="C95"/>
    </sheetView>
  </sheetViews>
  <sheetFormatPr defaultColWidth="9" defaultRowHeight="13.5" outlineLevelCol="5"/>
  <cols>
    <col min="1" max="1" width="5.25" style="168" customWidth="1"/>
    <col min="2" max="2" width="12.6333333333333" style="168" customWidth="1"/>
    <col min="3" max="3" width="36.375" style="168" customWidth="1"/>
    <col min="4" max="4" width="6.25" style="168" customWidth="1"/>
    <col min="5" max="5" width="6.38333333333333" style="168" customWidth="1"/>
    <col min="6" max="6" width="16.3833333333333" style="168" customWidth="1"/>
    <col min="7" max="16378" width="9" style="168"/>
  </cols>
  <sheetData>
    <row r="1" s="168" customFormat="1" ht="25" customHeight="1" spans="1:6">
      <c r="A1" s="169" t="s">
        <v>270</v>
      </c>
      <c r="B1" s="170"/>
      <c r="C1" s="170"/>
      <c r="D1" s="170"/>
      <c r="E1" s="170"/>
      <c r="F1" s="171"/>
    </row>
    <row r="2" s="168" customFormat="1" ht="26" customHeight="1" spans="1:6">
      <c r="A2" s="172" t="s">
        <v>1</v>
      </c>
      <c r="B2" s="172" t="s">
        <v>2</v>
      </c>
      <c r="C2" s="172" t="s">
        <v>3</v>
      </c>
      <c r="D2" s="172" t="s">
        <v>4</v>
      </c>
      <c r="E2" s="172" t="s">
        <v>5</v>
      </c>
      <c r="F2" s="172" t="s">
        <v>7</v>
      </c>
    </row>
    <row r="3" s="168" customFormat="1" ht="70" customHeight="1" spans="1:6">
      <c r="A3" s="173">
        <v>1</v>
      </c>
      <c r="B3" s="174" t="s">
        <v>271</v>
      </c>
      <c r="C3" s="175" t="s">
        <v>272</v>
      </c>
      <c r="D3" s="176">
        <v>1</v>
      </c>
      <c r="E3" s="174" t="s">
        <v>71</v>
      </c>
      <c r="F3" s="176" t="str">
        <f>_xlfn.DISPIMG("ID_9BAC0CCEAEFD4C66A3078BA556142FCB",1)</f>
        <v>=DISPIMG("ID_9BAC0CCEAEFD4C66A3078BA556142FCB",1)</v>
      </c>
    </row>
    <row r="4" s="168" customFormat="1" ht="70" customHeight="1" spans="1:6">
      <c r="A4" s="173">
        <v>2</v>
      </c>
      <c r="B4" s="174" t="s">
        <v>273</v>
      </c>
      <c r="C4" s="177" t="s">
        <v>227</v>
      </c>
      <c r="D4" s="173">
        <v>1</v>
      </c>
      <c r="E4" s="174" t="s">
        <v>71</v>
      </c>
      <c r="F4" s="41" t="str">
        <f>_xlfn.DISPIMG("ID_CFFB93DCF828430294512ECEB5D5E488",1)</f>
        <v>=DISPIMG("ID_CFFB93DCF828430294512ECEB5D5E488",1)</v>
      </c>
    </row>
    <row r="5" s="168" customFormat="1" ht="70" customHeight="1" spans="1:6">
      <c r="A5" s="173">
        <v>3</v>
      </c>
      <c r="B5" s="174" t="s">
        <v>274</v>
      </c>
      <c r="C5" s="177" t="s">
        <v>230</v>
      </c>
      <c r="D5" s="178">
        <v>1</v>
      </c>
      <c r="E5" s="40" t="s">
        <v>58</v>
      </c>
      <c r="F5" s="40" t="str">
        <f>_xlfn.DISPIMG("ID_4484D31038E14C47877238F7E5E08009",1)</f>
        <v>=DISPIMG("ID_4484D31038E14C47877238F7E5E08009",1)</v>
      </c>
    </row>
    <row r="6" s="168" customFormat="1" ht="70" customHeight="1" spans="1:6">
      <c r="A6" s="173">
        <v>4</v>
      </c>
      <c r="B6" s="174" t="s">
        <v>275</v>
      </c>
      <c r="C6" s="175" t="s">
        <v>276</v>
      </c>
      <c r="D6" s="173">
        <v>2</v>
      </c>
      <c r="E6" s="174" t="s">
        <v>16</v>
      </c>
      <c r="F6" s="176" t="str">
        <f>_xlfn.DISPIMG("ID_1421E74AB9864DA9BAC455EA087A18BD",1)</f>
        <v>=DISPIMG("ID_1421E74AB9864DA9BAC455EA087A18BD",1)</v>
      </c>
    </row>
    <row r="7" s="168" customFormat="1" ht="70" customHeight="1" spans="1:6">
      <c r="A7" s="173">
        <v>5</v>
      </c>
      <c r="B7" s="174" t="s">
        <v>277</v>
      </c>
      <c r="C7" s="175" t="s">
        <v>278</v>
      </c>
      <c r="D7" s="173">
        <v>1</v>
      </c>
      <c r="E7" s="174" t="s">
        <v>13</v>
      </c>
      <c r="F7" s="176" t="str">
        <f>_xlfn.DISPIMG("ID_3FCF5D9378F845B2920AE039063674C0",1)</f>
        <v>=DISPIMG("ID_3FCF5D9378F845B2920AE039063674C0",1)</v>
      </c>
    </row>
    <row r="8" s="168" customFormat="1" ht="70" customHeight="1" spans="1:6">
      <c r="A8" s="173">
        <v>6</v>
      </c>
      <c r="B8" s="174" t="s">
        <v>279</v>
      </c>
      <c r="C8" s="175" t="s">
        <v>280</v>
      </c>
      <c r="D8" s="173">
        <v>1</v>
      </c>
      <c r="E8" s="174" t="s">
        <v>71</v>
      </c>
      <c r="F8" s="176" t="str">
        <f>_xlfn.DISPIMG("ID_D9010DF1E3274C23AD29947181C35B6B",1)</f>
        <v>=DISPIMG("ID_D9010DF1E3274C23AD29947181C35B6B",1)</v>
      </c>
    </row>
    <row r="9" s="168" customFormat="1" ht="70" customHeight="1" spans="1:6">
      <c r="A9" s="173">
        <v>7</v>
      </c>
      <c r="B9" s="174" t="s">
        <v>281</v>
      </c>
      <c r="C9" s="175" t="s">
        <v>282</v>
      </c>
      <c r="D9" s="173">
        <v>1</v>
      </c>
      <c r="E9" s="174" t="s">
        <v>71</v>
      </c>
      <c r="F9" s="176" t="str">
        <f>_xlfn.DISPIMG("ID_1CA6D235F5784998A849CD6202A5A76E",1)</f>
        <v>=DISPIMG("ID_1CA6D235F5784998A849CD6202A5A76E",1)</v>
      </c>
    </row>
    <row r="10" s="168" customFormat="1" ht="70" customHeight="1" spans="1:6">
      <c r="A10" s="173">
        <v>8</v>
      </c>
      <c r="B10" s="174" t="s">
        <v>283</v>
      </c>
      <c r="C10" s="175" t="s">
        <v>284</v>
      </c>
      <c r="D10" s="173">
        <v>1</v>
      </c>
      <c r="E10" s="174" t="s">
        <v>13</v>
      </c>
      <c r="F10" s="176" t="str">
        <f>_xlfn.DISPIMG("ID_2B2F8E51FDCD46B594D8B5E28657AD60",1)</f>
        <v>=DISPIMG("ID_2B2F8E51FDCD46B594D8B5E28657AD60",1)</v>
      </c>
    </row>
    <row r="11" s="168" customFormat="1" ht="70" customHeight="1" spans="1:6">
      <c r="A11" s="173">
        <v>9</v>
      </c>
      <c r="B11" s="174" t="s">
        <v>285</v>
      </c>
      <c r="C11" s="175" t="s">
        <v>286</v>
      </c>
      <c r="D11" s="173">
        <v>1</v>
      </c>
      <c r="E11" s="174" t="s">
        <v>13</v>
      </c>
      <c r="F11" s="176" t="str">
        <f>_xlfn.DISPIMG("ID_34672009AEA34BC4A73A46A6847935A0",1)</f>
        <v>=DISPIMG("ID_34672009AEA34BC4A73A46A6847935A0",1)</v>
      </c>
    </row>
    <row r="12" s="168" customFormat="1" ht="70" customHeight="1" spans="1:6">
      <c r="A12" s="173">
        <v>10</v>
      </c>
      <c r="B12" s="174" t="s">
        <v>287</v>
      </c>
      <c r="C12" s="175" t="s">
        <v>288</v>
      </c>
      <c r="D12" s="173">
        <v>1</v>
      </c>
      <c r="E12" s="174" t="s">
        <v>13</v>
      </c>
      <c r="F12" s="176" t="str">
        <f>_xlfn.DISPIMG("ID_C9E4A71298A64DAFAAF846E059CEFBF1",1)</f>
        <v>=DISPIMG("ID_C9E4A71298A64DAFAAF846E059CEFBF1",1)</v>
      </c>
    </row>
    <row r="13" s="168" customFormat="1" ht="70" customHeight="1" spans="1:6">
      <c r="A13" s="173">
        <v>11</v>
      </c>
      <c r="B13" s="174" t="s">
        <v>289</v>
      </c>
      <c r="C13" s="175" t="s">
        <v>290</v>
      </c>
      <c r="D13" s="173">
        <v>5</v>
      </c>
      <c r="E13" s="174" t="s">
        <v>16</v>
      </c>
      <c r="F13" s="176" t="str">
        <f>_xlfn.DISPIMG("ID_B38CC1AE1DFE40C1867421D88735EF77",1)</f>
        <v>=DISPIMG("ID_B38CC1AE1DFE40C1867421D88735EF77",1)</v>
      </c>
    </row>
    <row r="14" s="168" customFormat="1" ht="70" customHeight="1" spans="1:6">
      <c r="A14" s="173">
        <v>12</v>
      </c>
      <c r="B14" s="174" t="s">
        <v>291</v>
      </c>
      <c r="C14" s="175" t="s">
        <v>292</v>
      </c>
      <c r="D14" s="173">
        <v>1</v>
      </c>
      <c r="E14" s="174" t="s">
        <v>10</v>
      </c>
      <c r="F14" s="176" t="str">
        <f>_xlfn.DISPIMG("ID_836636D3E29A4159B7F695D3E291D3A8",1)</f>
        <v>=DISPIMG("ID_836636D3E29A4159B7F695D3E291D3A8",1)</v>
      </c>
    </row>
    <row r="15" s="168" customFormat="1" ht="70" customHeight="1" spans="1:6">
      <c r="A15" s="173">
        <v>13</v>
      </c>
      <c r="B15" s="174" t="s">
        <v>293</v>
      </c>
      <c r="C15" s="175" t="s">
        <v>294</v>
      </c>
      <c r="D15" s="173">
        <v>1</v>
      </c>
      <c r="E15" s="174" t="s">
        <v>10</v>
      </c>
      <c r="F15" s="176" t="str">
        <f>_xlfn.DISPIMG("ID_B58F50F122D849B58F90694E26007BDA",1)</f>
        <v>=DISPIMG("ID_B58F50F122D849B58F90694E26007BDA",1)</v>
      </c>
    </row>
    <row r="16" s="168" customFormat="1" ht="70" customHeight="1" spans="1:6">
      <c r="A16" s="173">
        <v>14</v>
      </c>
      <c r="B16" s="174" t="s">
        <v>295</v>
      </c>
      <c r="C16" s="175" t="s">
        <v>296</v>
      </c>
      <c r="D16" s="173">
        <v>2</v>
      </c>
      <c r="E16" s="174" t="s">
        <v>58</v>
      </c>
      <c r="F16" s="176" t="str">
        <f>_xlfn.DISPIMG("ID_D4BC77F818AF430C8DF82AD2F5E76B55",1)</f>
        <v>=DISPIMG("ID_D4BC77F818AF430C8DF82AD2F5E76B55",1)</v>
      </c>
    </row>
    <row r="17" s="168" customFormat="1" ht="70" customHeight="1" spans="1:6">
      <c r="A17" s="173">
        <v>15</v>
      </c>
      <c r="B17" s="174" t="s">
        <v>297</v>
      </c>
      <c r="C17" s="175" t="s">
        <v>298</v>
      </c>
      <c r="D17" s="173">
        <v>20</v>
      </c>
      <c r="E17" s="174" t="s">
        <v>299</v>
      </c>
      <c r="F17" s="176" t="str">
        <f>_xlfn.DISPIMG("ID_99C28DD4408042FC96B6DD9E8510504F",1)</f>
        <v>=DISPIMG("ID_99C28DD4408042FC96B6DD9E8510504F",1)</v>
      </c>
    </row>
    <row r="18" s="168" customFormat="1" ht="70" customHeight="1" spans="1:6">
      <c r="A18" s="173">
        <v>16</v>
      </c>
      <c r="B18" s="174" t="s">
        <v>300</v>
      </c>
      <c r="C18" s="175" t="s">
        <v>301</v>
      </c>
      <c r="D18" s="173">
        <v>1</v>
      </c>
      <c r="E18" s="174" t="s">
        <v>16</v>
      </c>
      <c r="F18" s="176" t="str">
        <f>_xlfn.DISPIMG("ID_8D026F696CD340D4B562DF97BADC0505",1)</f>
        <v>=DISPIMG("ID_8D026F696CD340D4B562DF97BADC0505",1)</v>
      </c>
    </row>
    <row r="19" s="168" customFormat="1" ht="70" customHeight="1" spans="1:6">
      <c r="A19" s="173">
        <v>17</v>
      </c>
      <c r="B19" s="174" t="s">
        <v>302</v>
      </c>
      <c r="C19" s="175" t="s">
        <v>303</v>
      </c>
      <c r="D19" s="173">
        <v>1</v>
      </c>
      <c r="E19" s="174" t="s">
        <v>16</v>
      </c>
      <c r="F19" s="176" t="str">
        <f>_xlfn.DISPIMG("ID_A8444E2A3F3248EDA5FDA0E9481FBFDF",1)</f>
        <v>=DISPIMG("ID_A8444E2A3F3248EDA5FDA0E9481FBFDF",1)</v>
      </c>
    </row>
    <row r="20" s="168" customFormat="1" ht="70" customHeight="1" spans="1:6">
      <c r="A20" s="173">
        <v>18</v>
      </c>
      <c r="B20" s="174" t="s">
        <v>304</v>
      </c>
      <c r="C20" s="175" t="s">
        <v>305</v>
      </c>
      <c r="D20" s="173">
        <v>1</v>
      </c>
      <c r="E20" s="174" t="s">
        <v>53</v>
      </c>
      <c r="F20" s="176" t="str">
        <f>_xlfn.DISPIMG("ID_716328A12AE24B2F9448C515C7078228",1)</f>
        <v>=DISPIMG("ID_716328A12AE24B2F9448C515C7078228",1)</v>
      </c>
    </row>
    <row r="21" s="168" customFormat="1" ht="70" customHeight="1" spans="1:6">
      <c r="A21" s="173">
        <v>19</v>
      </c>
      <c r="B21" s="174"/>
      <c r="C21" s="175" t="s">
        <v>306</v>
      </c>
      <c r="D21" s="173">
        <v>1</v>
      </c>
      <c r="E21" s="174" t="s">
        <v>53</v>
      </c>
      <c r="F21" s="176" t="str">
        <f>_xlfn.DISPIMG("ID_08A7A5E5F4BE481DB3C77E7FF692CD7F",1)</f>
        <v>=DISPIMG("ID_08A7A5E5F4BE481DB3C77E7FF692CD7F",1)</v>
      </c>
    </row>
    <row r="22" s="168" customFormat="1" ht="70" customHeight="1" spans="1:6">
      <c r="A22" s="173">
        <v>20</v>
      </c>
      <c r="B22" s="174" t="s">
        <v>307</v>
      </c>
      <c r="C22" s="175" t="s">
        <v>308</v>
      </c>
      <c r="D22" s="173">
        <v>7</v>
      </c>
      <c r="E22" s="174" t="s">
        <v>16</v>
      </c>
      <c r="F22" s="176" t="str">
        <f>_xlfn.DISPIMG("ID_AE28C82B89C340959924AA5681204A55",1)</f>
        <v>=DISPIMG("ID_AE28C82B89C340959924AA5681204A55",1)</v>
      </c>
    </row>
    <row r="23" s="168" customFormat="1" ht="70" customHeight="1" spans="1:6">
      <c r="A23" s="173">
        <v>21</v>
      </c>
      <c r="B23" s="174" t="s">
        <v>309</v>
      </c>
      <c r="C23" s="175" t="s">
        <v>310</v>
      </c>
      <c r="D23" s="173">
        <v>1</v>
      </c>
      <c r="E23" s="174" t="s">
        <v>311</v>
      </c>
      <c r="F23" s="176" t="str">
        <f>_xlfn.DISPIMG("ID_836B131AE2E3460299F6206A2A28D1A0",1)</f>
        <v>=DISPIMG("ID_836B131AE2E3460299F6206A2A28D1A0",1)</v>
      </c>
    </row>
    <row r="24" s="168" customFormat="1" ht="70" customHeight="1" spans="1:6">
      <c r="A24" s="173">
        <v>22</v>
      </c>
      <c r="B24" s="174" t="s">
        <v>33</v>
      </c>
      <c r="C24" s="175" t="s">
        <v>312</v>
      </c>
      <c r="D24" s="173">
        <v>1</v>
      </c>
      <c r="E24" s="174" t="s">
        <v>16</v>
      </c>
      <c r="F24" s="176" t="str">
        <f>_xlfn.DISPIMG("ID_FB8B85922D6247789DF1D6E9DFEA3CFE",1)</f>
        <v>=DISPIMG("ID_FB8B85922D6247789DF1D6E9DFEA3CFE",1)</v>
      </c>
    </row>
    <row r="25" s="168" customFormat="1" ht="70" customHeight="1" spans="1:6">
      <c r="A25" s="173">
        <v>23</v>
      </c>
      <c r="B25" s="174" t="s">
        <v>313</v>
      </c>
      <c r="C25" s="175" t="s">
        <v>314</v>
      </c>
      <c r="D25" s="173">
        <v>2</v>
      </c>
      <c r="E25" s="174" t="s">
        <v>16</v>
      </c>
      <c r="F25" s="176" t="str">
        <f>_xlfn.DISPIMG("ID_2E3DA7DC1779416C9E209C7552B9E801",1)</f>
        <v>=DISPIMG("ID_2E3DA7DC1779416C9E209C7552B9E801",1)</v>
      </c>
    </row>
    <row r="26" s="168" customFormat="1" ht="70" customHeight="1" spans="1:6">
      <c r="A26" s="173">
        <v>24</v>
      </c>
      <c r="B26" s="174" t="s">
        <v>315</v>
      </c>
      <c r="C26" s="175" t="s">
        <v>316</v>
      </c>
      <c r="D26" s="173">
        <v>1</v>
      </c>
      <c r="E26" s="174" t="s">
        <v>16</v>
      </c>
      <c r="F26" s="176" t="str">
        <f>_xlfn.DISPIMG("ID_B0DCFB4CBFA44D399224E52C3F54678B",1)</f>
        <v>=DISPIMG("ID_B0DCFB4CBFA44D399224E52C3F54678B",1)</v>
      </c>
    </row>
    <row r="27" s="168" customFormat="1" ht="70" customHeight="1" spans="1:6">
      <c r="A27" s="173">
        <v>25</v>
      </c>
      <c r="B27" s="174" t="s">
        <v>317</v>
      </c>
      <c r="C27" s="175" t="s">
        <v>318</v>
      </c>
      <c r="D27" s="173">
        <v>1</v>
      </c>
      <c r="E27" s="174" t="s">
        <v>16</v>
      </c>
      <c r="F27" s="176" t="str">
        <f>_xlfn.DISPIMG("ID_BAB0FE6ABA2846738DC5E85DCDA2A115",1)</f>
        <v>=DISPIMG("ID_BAB0FE6ABA2846738DC5E85DCDA2A115",1)</v>
      </c>
    </row>
    <row r="28" s="168" customFormat="1" ht="70" customHeight="1" spans="1:6">
      <c r="A28" s="173">
        <v>26</v>
      </c>
      <c r="B28" s="174" t="s">
        <v>319</v>
      </c>
      <c r="C28" s="175" t="s">
        <v>320</v>
      </c>
      <c r="D28" s="173">
        <v>2</v>
      </c>
      <c r="E28" s="174" t="s">
        <v>10</v>
      </c>
      <c r="F28" s="176" t="str">
        <f>_xlfn.DISPIMG("ID_EEB0F048E1F14EE5B159493867BFFE0F",1)</f>
        <v>=DISPIMG("ID_EEB0F048E1F14EE5B159493867BFFE0F",1)</v>
      </c>
    </row>
    <row r="29" s="168" customFormat="1" ht="70" customHeight="1" spans="1:6">
      <c r="A29" s="173">
        <v>27</v>
      </c>
      <c r="B29" s="174" t="s">
        <v>321</v>
      </c>
      <c r="C29" s="175" t="s">
        <v>322</v>
      </c>
      <c r="D29" s="173">
        <v>1</v>
      </c>
      <c r="E29" s="174" t="s">
        <v>323</v>
      </c>
      <c r="F29" s="176" t="str">
        <f>_xlfn.DISPIMG("ID_28CAF30B47C14EC1B4FC0787CEF3CBF1",1)</f>
        <v>=DISPIMG("ID_28CAF30B47C14EC1B4FC0787CEF3CBF1",1)</v>
      </c>
    </row>
    <row r="30" s="168" customFormat="1" ht="70" customHeight="1" spans="1:6">
      <c r="A30" s="173">
        <v>28</v>
      </c>
      <c r="B30" s="174" t="s">
        <v>324</v>
      </c>
      <c r="C30" s="175" t="s">
        <v>325</v>
      </c>
      <c r="D30" s="173">
        <v>1</v>
      </c>
      <c r="E30" s="174" t="s">
        <v>16</v>
      </c>
      <c r="F30" s="176" t="str">
        <f>_xlfn.DISPIMG("ID_6D7F8E83630B498591ADFEB0A6618AFD",1)</f>
        <v>=DISPIMG("ID_6D7F8E83630B498591ADFEB0A6618AFD",1)</v>
      </c>
    </row>
    <row r="31" s="168" customFormat="1" ht="70" customHeight="1" spans="1:6">
      <c r="A31" s="173">
        <v>29</v>
      </c>
      <c r="B31" s="174" t="s">
        <v>326</v>
      </c>
      <c r="C31" s="175" t="s">
        <v>327</v>
      </c>
      <c r="D31" s="173">
        <v>1</v>
      </c>
      <c r="E31" s="174" t="s">
        <v>328</v>
      </c>
      <c r="F31" s="176" t="str">
        <f>_xlfn.DISPIMG("ID_AC6E5BAF032F4665920A379A3B686365",1)</f>
        <v>=DISPIMG("ID_AC6E5BAF032F4665920A379A3B686365",1)</v>
      </c>
    </row>
    <row r="32" s="168" customFormat="1" ht="70" customHeight="1" spans="1:6">
      <c r="A32" s="173">
        <v>30</v>
      </c>
      <c r="B32" s="174" t="s">
        <v>329</v>
      </c>
      <c r="C32" s="175" t="s">
        <v>330</v>
      </c>
      <c r="D32" s="173">
        <v>1</v>
      </c>
      <c r="E32" s="174" t="s">
        <v>331</v>
      </c>
      <c r="F32" s="176" t="str">
        <f>_xlfn.DISPIMG("ID_DBC260B3119E4E5C8F1EF4DA0046E6A4",1)</f>
        <v>=DISPIMG("ID_DBC260B3119E4E5C8F1EF4DA0046E6A4",1)</v>
      </c>
    </row>
    <row r="33" s="168" customFormat="1" ht="70" customHeight="1" spans="1:6">
      <c r="A33" s="173">
        <v>31</v>
      </c>
      <c r="B33" s="174" t="s">
        <v>332</v>
      </c>
      <c r="C33" s="175" t="s">
        <v>333</v>
      </c>
      <c r="D33" s="173">
        <v>2</v>
      </c>
      <c r="E33" s="174" t="s">
        <v>331</v>
      </c>
      <c r="F33" s="176" t="str">
        <f>_xlfn.DISPIMG("ID_588A4088A28449D2930801079EF9F6FA",1)</f>
        <v>=DISPIMG("ID_588A4088A28449D2930801079EF9F6FA",1)</v>
      </c>
    </row>
    <row r="34" s="168" customFormat="1" ht="70" customHeight="1" spans="1:6">
      <c r="A34" s="173">
        <v>32</v>
      </c>
      <c r="B34" s="174" t="s">
        <v>334</v>
      </c>
      <c r="C34" s="175" t="s">
        <v>335</v>
      </c>
      <c r="D34" s="173">
        <v>1</v>
      </c>
      <c r="E34" s="174" t="s">
        <v>58</v>
      </c>
      <c r="F34" s="176" t="str">
        <f>_xlfn.DISPIMG("ID_DF2997E22ACB494AB9084B00CF23DE17",1)</f>
        <v>=DISPIMG("ID_DF2997E22ACB494AB9084B00CF23DE17",1)</v>
      </c>
    </row>
    <row r="35" s="168" customFormat="1" ht="70" customHeight="1" spans="1:6">
      <c r="A35" s="173">
        <v>33</v>
      </c>
      <c r="B35" s="174" t="s">
        <v>336</v>
      </c>
      <c r="C35" s="175" t="s">
        <v>337</v>
      </c>
      <c r="D35" s="173">
        <v>60</v>
      </c>
      <c r="E35" s="174" t="s">
        <v>299</v>
      </c>
      <c r="F35" s="176" t="str">
        <f>_xlfn.DISPIMG("ID_AAF4411288E0402BA217F3B1EED89D3E",1)</f>
        <v>=DISPIMG("ID_AAF4411288E0402BA217F3B1EED89D3E",1)</v>
      </c>
    </row>
    <row r="36" s="168" customFormat="1" ht="70" customHeight="1" spans="1:6">
      <c r="A36" s="173">
        <v>34</v>
      </c>
      <c r="B36" s="174" t="s">
        <v>338</v>
      </c>
      <c r="C36" s="175" t="s">
        <v>339</v>
      </c>
      <c r="D36" s="173">
        <v>2</v>
      </c>
      <c r="E36" s="174" t="s">
        <v>10</v>
      </c>
      <c r="F36" s="176" t="str">
        <f>_xlfn.DISPIMG("ID_D801CBEE647D428380E519930CE1C977",1)</f>
        <v>=DISPIMG("ID_D801CBEE647D428380E519930CE1C977",1)</v>
      </c>
    </row>
    <row r="37" s="168" customFormat="1" ht="70" customHeight="1" spans="1:6">
      <c r="A37" s="173">
        <v>35</v>
      </c>
      <c r="B37" s="174" t="s">
        <v>340</v>
      </c>
      <c r="C37" s="175" t="s">
        <v>341</v>
      </c>
      <c r="D37" s="173">
        <v>5</v>
      </c>
      <c r="E37" s="174" t="s">
        <v>311</v>
      </c>
      <c r="F37" s="176" t="str">
        <f>_xlfn.DISPIMG("ID_8CD9CCE2E7D44A13A2FF574365F1D47B",1)</f>
        <v>=DISPIMG("ID_8CD9CCE2E7D44A13A2FF574365F1D47B",1)</v>
      </c>
    </row>
    <row r="38" s="168" customFormat="1" ht="70" customHeight="1" spans="1:6">
      <c r="A38" s="173">
        <v>36</v>
      </c>
      <c r="B38" s="174" t="s">
        <v>342</v>
      </c>
      <c r="C38" s="175" t="s">
        <v>343</v>
      </c>
      <c r="D38" s="173">
        <v>2</v>
      </c>
      <c r="E38" s="174" t="s">
        <v>53</v>
      </c>
      <c r="F38" s="176" t="str">
        <f>_xlfn.DISPIMG("ID_916B711E643F411C8837D784ADF15111",1)</f>
        <v>=DISPIMG("ID_916B711E643F411C8837D784ADF15111",1)</v>
      </c>
    </row>
    <row r="39" s="168" customFormat="1" ht="70" customHeight="1" spans="1:6">
      <c r="A39" s="173">
        <v>37</v>
      </c>
      <c r="B39" s="174" t="s">
        <v>344</v>
      </c>
      <c r="C39" s="175" t="s">
        <v>345</v>
      </c>
      <c r="D39" s="173">
        <v>1</v>
      </c>
      <c r="E39" s="174" t="s">
        <v>13</v>
      </c>
      <c r="F39" s="176" t="str">
        <f>_xlfn.DISPIMG("ID_018A3DBE40694E51BB87DEA062BF8305",1)</f>
        <v>=DISPIMG("ID_018A3DBE40694E51BB87DEA062BF8305",1)</v>
      </c>
    </row>
    <row r="40" s="168" customFormat="1" ht="70" customHeight="1" spans="1:6">
      <c r="A40" s="173">
        <v>38</v>
      </c>
      <c r="B40" s="174" t="s">
        <v>346</v>
      </c>
      <c r="C40" s="175" t="s">
        <v>347</v>
      </c>
      <c r="D40" s="173">
        <v>2</v>
      </c>
      <c r="E40" s="174" t="s">
        <v>16</v>
      </c>
      <c r="F40" s="176" t="str">
        <f>_xlfn.DISPIMG("ID_D66FFFE41CA041BCB8EF16D5D5AD4402",1)</f>
        <v>=DISPIMG("ID_D66FFFE41CA041BCB8EF16D5D5AD4402",1)</v>
      </c>
    </row>
    <row r="41" s="168" customFormat="1" ht="70" customHeight="1" spans="1:6">
      <c r="A41" s="173">
        <v>39</v>
      </c>
      <c r="B41" s="174" t="s">
        <v>348</v>
      </c>
      <c r="C41" s="175" t="s">
        <v>349</v>
      </c>
      <c r="D41" s="173">
        <v>2</v>
      </c>
      <c r="E41" s="174" t="s">
        <v>16</v>
      </c>
      <c r="F41" s="176" t="str">
        <f>_xlfn.DISPIMG("ID_8D5963D4E3DD48C4A5E44CC1AC29A2C1",1)</f>
        <v>=DISPIMG("ID_8D5963D4E3DD48C4A5E44CC1AC29A2C1",1)</v>
      </c>
    </row>
    <row r="42" s="168" customFormat="1" ht="70" customHeight="1" spans="1:6">
      <c r="A42" s="173">
        <v>40</v>
      </c>
      <c r="B42" s="174" t="s">
        <v>350</v>
      </c>
      <c r="C42" s="175" t="s">
        <v>351</v>
      </c>
      <c r="D42" s="173">
        <v>1</v>
      </c>
      <c r="E42" s="174" t="s">
        <v>16</v>
      </c>
      <c r="F42" s="176" t="str">
        <f>_xlfn.DISPIMG("ID_07EFDCA883A14CE087B1F2D255E6F9DC",1)</f>
        <v>=DISPIMG("ID_07EFDCA883A14CE087B1F2D255E6F9DC",1)</v>
      </c>
    </row>
    <row r="43" s="168" customFormat="1" ht="70" customHeight="1" spans="1:6">
      <c r="A43" s="173">
        <v>41</v>
      </c>
      <c r="B43" s="174" t="s">
        <v>352</v>
      </c>
      <c r="C43" s="175" t="s">
        <v>353</v>
      </c>
      <c r="D43" s="173">
        <v>2</v>
      </c>
      <c r="E43" s="174" t="s">
        <v>16</v>
      </c>
      <c r="F43" s="176" t="str">
        <f>_xlfn.DISPIMG("ID_2E72343BC6F14FE4905548152E473529",1)</f>
        <v>=DISPIMG("ID_2E72343BC6F14FE4905548152E473529",1)</v>
      </c>
    </row>
    <row r="44" s="168" customFormat="1" ht="70" customHeight="1" spans="1:6">
      <c r="A44" s="173">
        <v>42</v>
      </c>
      <c r="B44" s="174"/>
      <c r="C44" s="175" t="s">
        <v>354</v>
      </c>
      <c r="D44" s="173">
        <v>2</v>
      </c>
      <c r="E44" s="174" t="s">
        <v>16</v>
      </c>
      <c r="F44" s="174"/>
    </row>
    <row r="45" s="168" customFormat="1" ht="70" customHeight="1" spans="1:6">
      <c r="A45" s="173">
        <v>43</v>
      </c>
      <c r="B45" s="174"/>
      <c r="C45" s="175" t="s">
        <v>355</v>
      </c>
      <c r="D45" s="173">
        <v>2</v>
      </c>
      <c r="E45" s="174" t="s">
        <v>16</v>
      </c>
      <c r="F45" s="174"/>
    </row>
    <row r="46" s="168" customFormat="1" ht="70" customHeight="1" spans="1:6">
      <c r="A46" s="173">
        <v>44</v>
      </c>
      <c r="B46" s="174"/>
      <c r="C46" s="175" t="s">
        <v>356</v>
      </c>
      <c r="D46" s="173">
        <v>2</v>
      </c>
      <c r="E46" s="174" t="s">
        <v>16</v>
      </c>
      <c r="F46" s="174"/>
    </row>
    <row r="47" s="168" customFormat="1" ht="70" customHeight="1" spans="1:6">
      <c r="A47" s="173">
        <v>45</v>
      </c>
      <c r="B47" s="174"/>
      <c r="C47" s="175" t="s">
        <v>357</v>
      </c>
      <c r="D47" s="173">
        <v>2</v>
      </c>
      <c r="E47" s="174" t="s">
        <v>16</v>
      </c>
      <c r="F47" s="174"/>
    </row>
    <row r="48" s="168" customFormat="1" ht="70" customHeight="1" spans="1:6">
      <c r="A48" s="173">
        <v>46</v>
      </c>
      <c r="B48" s="174" t="s">
        <v>358</v>
      </c>
      <c r="C48" s="175" t="s">
        <v>359</v>
      </c>
      <c r="D48" s="173">
        <v>2</v>
      </c>
      <c r="E48" s="174" t="s">
        <v>16</v>
      </c>
      <c r="F48" s="176" t="str">
        <f>_xlfn.DISPIMG("ID_029617EEC5EF4ED38E7C5C736FBBD632",1)</f>
        <v>=DISPIMG("ID_029617EEC5EF4ED38E7C5C736FBBD632",1)</v>
      </c>
    </row>
    <row r="49" s="168" customFormat="1" ht="70" customHeight="1" spans="1:6">
      <c r="A49" s="173">
        <v>47</v>
      </c>
      <c r="B49" s="174" t="s">
        <v>360</v>
      </c>
      <c r="C49" s="175" t="s">
        <v>361</v>
      </c>
      <c r="D49" s="173">
        <v>2</v>
      </c>
      <c r="E49" s="174" t="s">
        <v>16</v>
      </c>
      <c r="F49" s="176" t="str">
        <f>_xlfn.DISPIMG("ID_B0DD07EF228C43A493D4AB3F8B3DC41D",1)</f>
        <v>=DISPIMG("ID_B0DD07EF228C43A493D4AB3F8B3DC41D",1)</v>
      </c>
    </row>
    <row r="50" s="168" customFormat="1" ht="70" customHeight="1" spans="1:6">
      <c r="A50" s="173">
        <v>48</v>
      </c>
      <c r="B50" s="174" t="s">
        <v>362</v>
      </c>
      <c r="C50" s="175" t="s">
        <v>363</v>
      </c>
      <c r="D50" s="173">
        <v>1</v>
      </c>
      <c r="E50" s="174" t="s">
        <v>364</v>
      </c>
      <c r="F50" s="61" t="str">
        <f>_xlfn.DISPIMG("ID_5BBA28854764414C98A7E7001ABEA4BD",1)</f>
        <v>=DISPIMG("ID_5BBA28854764414C98A7E7001ABEA4BD",1)</v>
      </c>
    </row>
    <row r="51" s="168" customFormat="1" ht="70" customHeight="1" spans="1:6">
      <c r="A51" s="173">
        <v>49</v>
      </c>
      <c r="B51" s="174" t="s">
        <v>365</v>
      </c>
      <c r="C51" s="175" t="s">
        <v>366</v>
      </c>
      <c r="D51" s="173">
        <v>1</v>
      </c>
      <c r="E51" s="174" t="s">
        <v>364</v>
      </c>
      <c r="F51" s="61" t="str">
        <f>_xlfn.DISPIMG("ID_6616DE8FAFA047FB918527F15A5FA1EB",1)</f>
        <v>=DISPIMG("ID_6616DE8FAFA047FB918527F15A5FA1EB",1)</v>
      </c>
    </row>
    <row r="52" s="168" customFormat="1" ht="70" customHeight="1" spans="1:6">
      <c r="A52" s="173">
        <v>50</v>
      </c>
      <c r="B52" s="174" t="s">
        <v>367</v>
      </c>
      <c r="C52" s="175" t="s">
        <v>368</v>
      </c>
      <c r="D52" s="173">
        <v>1</v>
      </c>
      <c r="E52" s="174" t="s">
        <v>10</v>
      </c>
      <c r="F52" s="179" t="str">
        <f>_xlfn.DISPIMG("ID_60252F6C9756470CAC95471475848129",1)</f>
        <v>=DISPIMG("ID_60252F6C9756470CAC95471475848129",1)</v>
      </c>
    </row>
    <row r="53" s="168" customFormat="1" ht="70" customHeight="1" spans="1:6">
      <c r="A53" s="173">
        <v>51</v>
      </c>
      <c r="B53" s="174" t="s">
        <v>369</v>
      </c>
      <c r="C53" s="175" t="s">
        <v>370</v>
      </c>
      <c r="D53" s="173">
        <v>1</v>
      </c>
      <c r="E53" s="174" t="s">
        <v>10</v>
      </c>
      <c r="F53" s="179"/>
    </row>
    <row r="54" s="168" customFormat="1" ht="70" customHeight="1" spans="1:6">
      <c r="A54" s="173">
        <v>52</v>
      </c>
      <c r="B54" s="174" t="s">
        <v>371</v>
      </c>
      <c r="C54" s="175" t="s">
        <v>372</v>
      </c>
      <c r="D54" s="173">
        <v>1</v>
      </c>
      <c r="E54" s="174" t="s">
        <v>10</v>
      </c>
      <c r="F54" s="179"/>
    </row>
    <row r="55" s="168" customFormat="1" ht="70" customHeight="1" spans="1:6">
      <c r="A55" s="173">
        <v>53</v>
      </c>
      <c r="B55" s="174" t="s">
        <v>373</v>
      </c>
      <c r="C55" s="175" t="s">
        <v>374</v>
      </c>
      <c r="D55" s="173">
        <v>1</v>
      </c>
      <c r="E55" s="174" t="s">
        <v>10</v>
      </c>
      <c r="F55" s="179"/>
    </row>
    <row r="56" s="168" customFormat="1" ht="70" customHeight="1" spans="1:6">
      <c r="A56" s="173">
        <v>54</v>
      </c>
      <c r="B56" s="174" t="s">
        <v>375</v>
      </c>
      <c r="C56" s="175" t="s">
        <v>376</v>
      </c>
      <c r="D56" s="173">
        <v>5</v>
      </c>
      <c r="E56" s="174" t="s">
        <v>63</v>
      </c>
      <c r="F56" s="176" t="str">
        <f>_xlfn.DISPIMG("ID_4A7A215A2EC94EC78CED9EC0AC3DA219",1)</f>
        <v>=DISPIMG("ID_4A7A215A2EC94EC78CED9EC0AC3DA219",1)</v>
      </c>
    </row>
    <row r="57" s="168" customFormat="1" ht="70" customHeight="1" spans="1:6">
      <c r="A57" s="173">
        <v>55</v>
      </c>
      <c r="B57" s="174" t="s">
        <v>377</v>
      </c>
      <c r="C57" s="175" t="s">
        <v>378</v>
      </c>
      <c r="D57" s="173">
        <v>1</v>
      </c>
      <c r="E57" s="174" t="s">
        <v>13</v>
      </c>
      <c r="F57" s="176" t="str">
        <f>_xlfn.DISPIMG("ID_64D93F69829D426689B864FD02C8789B",1)</f>
        <v>=DISPIMG("ID_64D93F69829D426689B864FD02C8789B",1)</v>
      </c>
    </row>
    <row r="58" s="168" customFormat="1" ht="70" customHeight="1" spans="1:6">
      <c r="A58" s="173">
        <v>56</v>
      </c>
      <c r="B58" s="174" t="s">
        <v>379</v>
      </c>
      <c r="C58" s="175" t="s">
        <v>380</v>
      </c>
      <c r="D58" s="173">
        <v>1</v>
      </c>
      <c r="E58" s="174" t="s">
        <v>13</v>
      </c>
      <c r="F58" s="176" t="str">
        <f>_xlfn.DISPIMG("ID_1DF2A332030040448EA50E02DA7E4244",1)</f>
        <v>=DISPIMG("ID_1DF2A332030040448EA50E02DA7E4244",1)</v>
      </c>
    </row>
    <row r="59" s="168" customFormat="1" ht="70" customHeight="1" spans="1:6">
      <c r="A59" s="173">
        <v>57</v>
      </c>
      <c r="B59" s="180" t="s">
        <v>381</v>
      </c>
      <c r="C59" s="181" t="s">
        <v>382</v>
      </c>
      <c r="D59" s="173">
        <v>2</v>
      </c>
      <c r="E59" s="180" t="s">
        <v>10</v>
      </c>
      <c r="F59" s="176" t="str">
        <f>_xlfn.DISPIMG("ID_A2FBEC8123FC4B70A670C001235CB39E",1)</f>
        <v>=DISPIMG("ID_A2FBEC8123FC4B70A670C001235CB39E",1)</v>
      </c>
    </row>
    <row r="60" s="168" customFormat="1" ht="70" customHeight="1" spans="1:6">
      <c r="A60" s="173">
        <v>58</v>
      </c>
      <c r="B60" s="173" t="s">
        <v>383</v>
      </c>
      <c r="C60" s="182" t="s">
        <v>384</v>
      </c>
      <c r="D60" s="173">
        <v>30</v>
      </c>
      <c r="E60" s="174" t="s">
        <v>10</v>
      </c>
      <c r="F60" s="176" t="str">
        <f>_xlfn.DISPIMG("ID_8D980B6FD7774C8D9597722EB0CBEF24",1)</f>
        <v>=DISPIMG("ID_8D980B6FD7774C8D9597722EB0CBEF24",1)</v>
      </c>
    </row>
    <row r="61" s="168" customFormat="1" ht="70" customHeight="1" spans="1:6">
      <c r="A61" s="173">
        <v>59</v>
      </c>
      <c r="B61" s="173" t="s">
        <v>385</v>
      </c>
      <c r="C61" s="182" t="s">
        <v>386</v>
      </c>
      <c r="D61" s="173">
        <v>4</v>
      </c>
      <c r="E61" s="173" t="s">
        <v>364</v>
      </c>
      <c r="F61" s="176" t="str">
        <f>_xlfn.DISPIMG("ID_F194DC1DCF204FB683E888A2CFFA1F16",1)</f>
        <v>=DISPIMG("ID_F194DC1DCF204FB683E888A2CFFA1F16",1)</v>
      </c>
    </row>
    <row r="62" s="168" customFormat="1" ht="70" customHeight="1" spans="1:6">
      <c r="A62" s="173">
        <v>60</v>
      </c>
      <c r="B62" s="174" t="s">
        <v>387</v>
      </c>
      <c r="C62" s="175" t="s">
        <v>388</v>
      </c>
      <c r="D62" s="173">
        <v>1</v>
      </c>
      <c r="E62" s="174" t="s">
        <v>16</v>
      </c>
      <c r="F62" s="176" t="str">
        <f>_xlfn.DISPIMG("ID_55E94F86018D4DD3BC426F072DFE50D1",1)</f>
        <v>=DISPIMG("ID_55E94F86018D4DD3BC426F072DFE50D1",1)</v>
      </c>
    </row>
    <row r="63" s="168" customFormat="1" ht="70" customHeight="1" spans="1:6">
      <c r="A63" s="173">
        <v>61</v>
      </c>
      <c r="B63" s="174" t="s">
        <v>389</v>
      </c>
      <c r="C63" s="183" t="s">
        <v>390</v>
      </c>
      <c r="D63" s="173">
        <v>1</v>
      </c>
      <c r="E63" s="174" t="s">
        <v>10</v>
      </c>
      <c r="F63" s="176" t="str">
        <f>_xlfn.DISPIMG("ID_C661BDB37B7E478D80E0E594449825CF",1)</f>
        <v>=DISPIMG("ID_C661BDB37B7E478D80E0E594449825CF",1)</v>
      </c>
    </row>
    <row r="64" s="168" customFormat="1" ht="70" customHeight="1" spans="1:6">
      <c r="A64" s="173">
        <v>62</v>
      </c>
      <c r="B64" s="174" t="s">
        <v>391</v>
      </c>
      <c r="C64" s="183" t="s">
        <v>392</v>
      </c>
      <c r="D64" s="173">
        <v>2</v>
      </c>
      <c r="E64" s="174" t="s">
        <v>16</v>
      </c>
      <c r="F64" s="176" t="str">
        <f>_xlfn.DISPIMG("ID_1D0A5D4D77F54877836755CEFE6477B4",1)</f>
        <v>=DISPIMG("ID_1D0A5D4D77F54877836755CEFE6477B4",1)</v>
      </c>
    </row>
    <row r="65" s="168" customFormat="1" ht="70" customHeight="1" spans="1:6">
      <c r="A65" s="173">
        <v>63</v>
      </c>
      <c r="B65" s="174" t="s">
        <v>393</v>
      </c>
      <c r="C65" s="183" t="s">
        <v>394</v>
      </c>
      <c r="D65" s="173">
        <v>1</v>
      </c>
      <c r="E65" s="174" t="s">
        <v>13</v>
      </c>
      <c r="F65" s="176" t="str">
        <f>_xlfn.DISPIMG("ID_CE08C0F7EF0B4C509522CFD5CFDDFDE1",1)</f>
        <v>=DISPIMG("ID_CE08C0F7EF0B4C509522CFD5CFDDFDE1",1)</v>
      </c>
    </row>
    <row r="66" s="168" customFormat="1" ht="70" customHeight="1" spans="1:6">
      <c r="A66" s="173">
        <v>64</v>
      </c>
      <c r="B66" s="174" t="s">
        <v>395</v>
      </c>
      <c r="C66" s="175" t="s">
        <v>396</v>
      </c>
      <c r="D66" s="173">
        <v>1</v>
      </c>
      <c r="E66" s="174" t="s">
        <v>16</v>
      </c>
      <c r="F66" s="176" t="str">
        <f>_xlfn.DISPIMG("ID_82AE9272116E4CC48CDE7B9EB2F77CD0",1)</f>
        <v>=DISPIMG("ID_82AE9272116E4CC48CDE7B9EB2F77CD0",1)</v>
      </c>
    </row>
    <row r="67" s="168" customFormat="1" ht="70" customHeight="1" spans="1:6">
      <c r="A67" s="173">
        <v>65</v>
      </c>
      <c r="B67" s="174" t="s">
        <v>397</v>
      </c>
      <c r="C67" s="183" t="s">
        <v>398</v>
      </c>
      <c r="D67" s="173">
        <v>2</v>
      </c>
      <c r="E67" s="174" t="s">
        <v>71</v>
      </c>
      <c r="F67" s="176" t="str">
        <f>_xlfn.DISPIMG("ID_C3B34DFC6560492A99133DE5AE1A6EEF",1)</f>
        <v>=DISPIMG("ID_C3B34DFC6560492A99133DE5AE1A6EEF",1)</v>
      </c>
    </row>
    <row r="68" s="168" customFormat="1" ht="70" customHeight="1" spans="1:6">
      <c r="A68" s="173">
        <v>66</v>
      </c>
      <c r="B68" s="174" t="s">
        <v>399</v>
      </c>
      <c r="C68" s="175" t="s">
        <v>400</v>
      </c>
      <c r="D68" s="173">
        <v>1</v>
      </c>
      <c r="E68" s="174" t="s">
        <v>311</v>
      </c>
      <c r="F68" s="176" t="str">
        <f>_xlfn.DISPIMG("ID_1B1337ED23AD4F61B1DBAC653F1C218D",1)</f>
        <v>=DISPIMG("ID_1B1337ED23AD4F61B1DBAC653F1C218D",1)</v>
      </c>
    </row>
    <row r="69" s="168" customFormat="1" ht="70" customHeight="1" spans="1:6">
      <c r="A69" s="173">
        <v>67</v>
      </c>
      <c r="B69" s="174" t="s">
        <v>399</v>
      </c>
      <c r="C69" s="175" t="s">
        <v>401</v>
      </c>
      <c r="D69" s="173">
        <v>1</v>
      </c>
      <c r="E69" s="174" t="s">
        <v>311</v>
      </c>
      <c r="F69" s="176" t="str">
        <f>_xlfn.DISPIMG("ID_4EA9190D23DE4BB4B44F6DD49518E178",1)</f>
        <v>=DISPIMG("ID_4EA9190D23DE4BB4B44F6DD49518E178",1)</v>
      </c>
    </row>
    <row r="70" s="168" customFormat="1" ht="70" customHeight="1" spans="1:6">
      <c r="A70" s="173">
        <v>68</v>
      </c>
      <c r="B70" s="174" t="s">
        <v>402</v>
      </c>
      <c r="C70" s="175" t="s">
        <v>403</v>
      </c>
      <c r="D70" s="173">
        <v>5</v>
      </c>
      <c r="E70" s="174" t="s">
        <v>404</v>
      </c>
      <c r="F70" s="176" t="str">
        <f>_xlfn.DISPIMG("ID_804E3DDEF7E84B99AFF32AE4919298DF",1)</f>
        <v>=DISPIMG("ID_804E3DDEF7E84B99AFF32AE4919298DF",1)</v>
      </c>
    </row>
    <row r="71" s="168" customFormat="1" ht="70" customHeight="1" spans="1:6">
      <c r="A71" s="173">
        <v>69</v>
      </c>
      <c r="B71" s="174" t="s">
        <v>405</v>
      </c>
      <c r="C71" s="175" t="s">
        <v>406</v>
      </c>
      <c r="D71" s="173">
        <v>1</v>
      </c>
      <c r="E71" s="174" t="s">
        <v>16</v>
      </c>
      <c r="F71" s="176" t="str">
        <f>_xlfn.DISPIMG("ID_C1BFEDA83AF64737B78FA39F37946145",1)</f>
        <v>=DISPIMG("ID_C1BFEDA83AF64737B78FA39F37946145",1)</v>
      </c>
    </row>
    <row r="72" s="168" customFormat="1" ht="70" customHeight="1" spans="1:6">
      <c r="A72" s="173">
        <v>70</v>
      </c>
      <c r="B72" s="174" t="s">
        <v>407</v>
      </c>
      <c r="C72" s="175" t="s">
        <v>408</v>
      </c>
      <c r="D72" s="173">
        <v>1</v>
      </c>
      <c r="E72" s="174" t="s">
        <v>13</v>
      </c>
      <c r="F72" s="176" t="str">
        <f>_xlfn.DISPIMG("ID_8C28D97C3BF744F191C279111CF1720D",1)</f>
        <v>=DISPIMG("ID_8C28D97C3BF744F191C279111CF1720D",1)</v>
      </c>
    </row>
    <row r="73" s="168" customFormat="1" ht="70" customHeight="1" spans="1:6">
      <c r="A73" s="173">
        <v>71</v>
      </c>
      <c r="B73" s="174" t="s">
        <v>409</v>
      </c>
      <c r="C73" s="175" t="s">
        <v>410</v>
      </c>
      <c r="D73" s="173">
        <v>1</v>
      </c>
      <c r="E73" s="174" t="s">
        <v>13</v>
      </c>
      <c r="F73" s="176" t="str">
        <f>_xlfn.DISPIMG("ID_4AF4DC0FDF4240FF94492CF22DF184AE",1)</f>
        <v>=DISPIMG("ID_4AF4DC0FDF4240FF94492CF22DF184AE",1)</v>
      </c>
    </row>
    <row r="74" s="168" customFormat="1" ht="70" customHeight="1" spans="1:6">
      <c r="A74" s="173">
        <v>72</v>
      </c>
      <c r="B74" s="174" t="s">
        <v>411</v>
      </c>
      <c r="C74" s="175" t="s">
        <v>412</v>
      </c>
      <c r="D74" s="173">
        <v>2</v>
      </c>
      <c r="E74" s="174" t="s">
        <v>13</v>
      </c>
      <c r="F74" s="176" t="str">
        <f>_xlfn.DISPIMG("ID_F8FDCA8A731946BEB722333C4F80BEDA",1)</f>
        <v>=DISPIMG("ID_F8FDCA8A731946BEB722333C4F80BEDA",1)</v>
      </c>
    </row>
    <row r="75" s="168" customFormat="1" ht="70" customHeight="1" spans="1:6">
      <c r="A75" s="173">
        <v>73</v>
      </c>
      <c r="B75" s="174" t="s">
        <v>413</v>
      </c>
      <c r="C75" s="175" t="s">
        <v>414</v>
      </c>
      <c r="D75" s="173">
        <v>2</v>
      </c>
      <c r="E75" s="174" t="s">
        <v>13</v>
      </c>
      <c r="F75" s="176" t="str">
        <f>_xlfn.DISPIMG("ID_5FCE5699A27C4396AF96CA76F8A9D185",1)</f>
        <v>=DISPIMG("ID_5FCE5699A27C4396AF96CA76F8A9D185",1)</v>
      </c>
    </row>
    <row r="76" s="168" customFormat="1" ht="70" customHeight="1" spans="1:6">
      <c r="A76" s="173">
        <v>74</v>
      </c>
      <c r="B76" s="174" t="s">
        <v>415</v>
      </c>
      <c r="C76" s="175" t="s">
        <v>416</v>
      </c>
      <c r="D76" s="173">
        <v>1</v>
      </c>
      <c r="E76" s="174" t="s">
        <v>299</v>
      </c>
      <c r="F76" s="176" t="str">
        <f>_xlfn.DISPIMG("ID_8FE4090A83984DE98DF9E42164F34478",1)</f>
        <v>=DISPIMG("ID_8FE4090A83984DE98DF9E42164F34478",1)</v>
      </c>
    </row>
    <row r="77" s="168" customFormat="1" ht="70" customHeight="1" spans="1:6">
      <c r="A77" s="173">
        <v>75</v>
      </c>
      <c r="B77" s="173" t="s">
        <v>417</v>
      </c>
      <c r="C77" s="184" t="s">
        <v>418</v>
      </c>
      <c r="D77" s="185">
        <v>2</v>
      </c>
      <c r="E77" s="174" t="s">
        <v>404</v>
      </c>
      <c r="F77" s="176" t="str">
        <f>_xlfn.DISPIMG("ID_3632F209EF574FF496FAB2ADBB43F5F8",1)</f>
        <v>=DISPIMG("ID_3632F209EF574FF496FAB2ADBB43F5F8",1)</v>
      </c>
    </row>
    <row r="78" s="168" customFormat="1" ht="70" customHeight="1" spans="1:6">
      <c r="A78" s="173">
        <v>76</v>
      </c>
      <c r="B78" s="173" t="s">
        <v>419</v>
      </c>
      <c r="C78" s="184" t="s">
        <v>420</v>
      </c>
      <c r="D78" s="185">
        <v>1</v>
      </c>
      <c r="E78" s="174" t="s">
        <v>404</v>
      </c>
      <c r="F78" s="61" t="str">
        <f>_xlfn.DISPIMG("ID_243F33EB08644841A115A259BC9A38F7",1)</f>
        <v>=DISPIMG("ID_243F33EB08644841A115A259BC9A38F7",1)</v>
      </c>
    </row>
    <row r="79" s="168" customFormat="1" ht="70" customHeight="1" spans="1:6">
      <c r="A79" s="173">
        <v>77</v>
      </c>
      <c r="B79" s="173" t="s">
        <v>421</v>
      </c>
      <c r="C79" s="184" t="s">
        <v>422</v>
      </c>
      <c r="D79" s="185">
        <v>10</v>
      </c>
      <c r="E79" s="174" t="s">
        <v>404</v>
      </c>
      <c r="F79" s="176" t="str">
        <f>_xlfn.DISPIMG("ID_05599D7E6E5645E894C93D87461327EC",1)</f>
        <v>=DISPIMG("ID_05599D7E6E5645E894C93D87461327EC",1)</v>
      </c>
    </row>
    <row r="80" s="168" customFormat="1" ht="70" customHeight="1" spans="1:6">
      <c r="A80" s="173">
        <v>78</v>
      </c>
      <c r="B80" s="173" t="s">
        <v>423</v>
      </c>
      <c r="C80" s="184" t="s">
        <v>424</v>
      </c>
      <c r="D80" s="185">
        <v>30</v>
      </c>
      <c r="E80" s="174" t="s">
        <v>425</v>
      </c>
      <c r="F80" s="176" t="str">
        <f>_xlfn.DISPIMG("ID_765E76E59E524823BC9232DCF73BE171",1)</f>
        <v>=DISPIMG("ID_765E76E59E524823BC9232DCF73BE171",1)</v>
      </c>
    </row>
    <row r="81" s="168" customFormat="1" ht="70" customHeight="1" spans="1:6">
      <c r="A81" s="173">
        <v>79</v>
      </c>
      <c r="B81" s="173" t="s">
        <v>426</v>
      </c>
      <c r="C81" s="184" t="s">
        <v>427</v>
      </c>
      <c r="D81" s="185">
        <v>2</v>
      </c>
      <c r="E81" s="174" t="s">
        <v>16</v>
      </c>
      <c r="F81" s="176" t="str">
        <f>_xlfn.DISPIMG("ID_A69B0C61FF39426683D91771EC19F98A",1)</f>
        <v>=DISPIMG("ID_A69B0C61FF39426683D91771EC19F98A",1)</v>
      </c>
    </row>
    <row r="82" s="168" customFormat="1" ht="70" customHeight="1" spans="1:6">
      <c r="A82" s="173">
        <v>80</v>
      </c>
      <c r="B82" s="174" t="s">
        <v>428</v>
      </c>
      <c r="C82" s="175" t="s">
        <v>429</v>
      </c>
      <c r="D82" s="173">
        <v>10</v>
      </c>
      <c r="E82" s="174" t="s">
        <v>430</v>
      </c>
      <c r="F82" s="176" t="str">
        <f>_xlfn.DISPIMG("ID_DBF21D2E220E4FB7876E2FCBC1D70777",1)</f>
        <v>=DISPIMG("ID_DBF21D2E220E4FB7876E2FCBC1D70777",1)</v>
      </c>
    </row>
    <row r="83" s="168" customFormat="1" ht="70" customHeight="1" spans="1:6">
      <c r="A83" s="173">
        <v>81</v>
      </c>
      <c r="B83" s="174" t="s">
        <v>431</v>
      </c>
      <c r="C83" s="175" t="s">
        <v>432</v>
      </c>
      <c r="D83" s="173">
        <v>50</v>
      </c>
      <c r="E83" s="174" t="s">
        <v>16</v>
      </c>
      <c r="F83" s="176" t="str">
        <f>_xlfn.DISPIMG("ID_E41AF1EDD07A4E9B90A363032DD02076",1)</f>
        <v>=DISPIMG("ID_E41AF1EDD07A4E9B90A363032DD02076",1)</v>
      </c>
    </row>
    <row r="84" s="168" customFormat="1" ht="70" customHeight="1" spans="1:6">
      <c r="A84" s="173">
        <v>82</v>
      </c>
      <c r="B84" s="174" t="s">
        <v>433</v>
      </c>
      <c r="C84" s="175" t="s">
        <v>434</v>
      </c>
      <c r="D84" s="173">
        <v>2</v>
      </c>
      <c r="E84" s="174" t="s">
        <v>16</v>
      </c>
      <c r="F84" s="176" t="str">
        <f>_xlfn.DISPIMG("ID_CE65451088AC465C8BA214EB4244AEB4",1)</f>
        <v>=DISPIMG("ID_CE65451088AC465C8BA214EB4244AEB4",1)</v>
      </c>
    </row>
    <row r="85" s="168" customFormat="1" ht="70" customHeight="1" spans="1:6">
      <c r="A85" s="173">
        <v>83</v>
      </c>
      <c r="B85" s="174" t="s">
        <v>435</v>
      </c>
      <c r="C85" s="175" t="s">
        <v>436</v>
      </c>
      <c r="D85" s="173">
        <v>5</v>
      </c>
      <c r="E85" s="174" t="s">
        <v>437</v>
      </c>
      <c r="F85" s="176" t="str">
        <f>_xlfn.DISPIMG("ID_DE4BB589E87B4504B417DC9E1CD148B2",1)</f>
        <v>=DISPIMG("ID_DE4BB589E87B4504B417DC9E1CD148B2",1)</v>
      </c>
    </row>
    <row r="86" s="168" customFormat="1" ht="70" customHeight="1" spans="1:6">
      <c r="A86" s="173">
        <v>84</v>
      </c>
      <c r="B86" s="174" t="s">
        <v>438</v>
      </c>
      <c r="C86" s="175" t="s">
        <v>439</v>
      </c>
      <c r="D86" s="173">
        <v>5</v>
      </c>
      <c r="E86" s="174" t="s">
        <v>404</v>
      </c>
      <c r="F86" s="176" t="str">
        <f>_xlfn.DISPIMG("ID_5E2284AAC5F047EE9F57F2EDCCE4292B",1)</f>
        <v>=DISPIMG("ID_5E2284AAC5F047EE9F57F2EDCCE4292B",1)</v>
      </c>
    </row>
    <row r="87" s="168" customFormat="1" ht="70" customHeight="1" spans="1:6">
      <c r="A87" s="173">
        <v>85</v>
      </c>
      <c r="B87" s="174" t="s">
        <v>440</v>
      </c>
      <c r="C87" s="175" t="s">
        <v>441</v>
      </c>
      <c r="D87" s="173">
        <v>2</v>
      </c>
      <c r="E87" s="174" t="s">
        <v>442</v>
      </c>
      <c r="F87" s="176" t="str">
        <f>_xlfn.DISPIMG("ID_E5B7473A1EF542489B4E45887491C36F",1)</f>
        <v>=DISPIMG("ID_E5B7473A1EF542489B4E45887491C36F",1)</v>
      </c>
    </row>
    <row r="88" s="168" customFormat="1" ht="70" customHeight="1" spans="1:6">
      <c r="A88" s="173">
        <v>86</v>
      </c>
      <c r="B88" s="174" t="s">
        <v>443</v>
      </c>
      <c r="C88" s="175" t="s">
        <v>444</v>
      </c>
      <c r="D88" s="173">
        <v>5</v>
      </c>
      <c r="E88" s="174" t="s">
        <v>16</v>
      </c>
      <c r="F88" s="176" t="str">
        <f>_xlfn.DISPIMG("ID_2FACA19EAD974834872A1A8801CDAC83",1)</f>
        <v>=DISPIMG("ID_2FACA19EAD974834872A1A8801CDAC83",1)</v>
      </c>
    </row>
    <row r="89" s="168" customFormat="1" ht="70" customHeight="1" spans="1:6">
      <c r="A89" s="173">
        <v>87</v>
      </c>
      <c r="B89" s="174" t="s">
        <v>445</v>
      </c>
      <c r="C89" s="175" t="s">
        <v>446</v>
      </c>
      <c r="D89" s="173">
        <v>5</v>
      </c>
      <c r="E89" s="174" t="s">
        <v>404</v>
      </c>
      <c r="F89" s="176" t="str">
        <f>_xlfn.DISPIMG("ID_C2069FFB0F7E438883C9FD24A0C30476",1)</f>
        <v>=DISPIMG("ID_C2069FFB0F7E438883C9FD24A0C30476",1)</v>
      </c>
    </row>
    <row r="90" s="168" customFormat="1" ht="70" customHeight="1" spans="1:6">
      <c r="A90" s="173">
        <v>88</v>
      </c>
      <c r="B90" s="174" t="s">
        <v>447</v>
      </c>
      <c r="C90" s="175" t="s">
        <v>448</v>
      </c>
      <c r="D90" s="173">
        <v>1</v>
      </c>
      <c r="E90" s="174" t="s">
        <v>16</v>
      </c>
      <c r="F90" s="176" t="str">
        <f>_xlfn.DISPIMG("ID_AB35752D698842299607EF18E8CF866C",1)</f>
        <v>=DISPIMG("ID_AB35752D698842299607EF18E8CF866C",1)</v>
      </c>
    </row>
    <row r="91" s="168" customFormat="1" ht="70" customHeight="1" spans="1:6">
      <c r="A91" s="173">
        <v>89</v>
      </c>
      <c r="B91" s="174" t="s">
        <v>449</v>
      </c>
      <c r="C91" s="175" t="s">
        <v>450</v>
      </c>
      <c r="D91" s="173">
        <v>1</v>
      </c>
      <c r="E91" s="174" t="s">
        <v>16</v>
      </c>
      <c r="F91" s="176" t="str">
        <f>_xlfn.DISPIMG("ID_04C1F5EB0B3C4864A6AF512A2EAC25E2",1)</f>
        <v>=DISPIMG("ID_04C1F5EB0B3C4864A6AF512A2EAC25E2",1)</v>
      </c>
    </row>
    <row r="92" s="168" customFormat="1" ht="70" customHeight="1" spans="1:6">
      <c r="A92" s="173">
        <v>90</v>
      </c>
      <c r="B92" s="174" t="s">
        <v>451</v>
      </c>
      <c r="C92" s="175" t="s">
        <v>452</v>
      </c>
      <c r="D92" s="173">
        <v>2</v>
      </c>
      <c r="E92" s="174" t="s">
        <v>16</v>
      </c>
      <c r="F92" s="176" t="str">
        <f>_xlfn.DISPIMG("ID_1863B787B00C4C42AD94EA898E837CD7",1)</f>
        <v>=DISPIMG("ID_1863B787B00C4C42AD94EA898E837CD7",1)</v>
      </c>
    </row>
    <row r="93" s="168" customFormat="1" ht="70" customHeight="1" spans="1:6">
      <c r="A93" s="173">
        <v>91</v>
      </c>
      <c r="B93" s="174" t="s">
        <v>453</v>
      </c>
      <c r="C93" s="175" t="s">
        <v>454</v>
      </c>
      <c r="D93" s="173">
        <v>10</v>
      </c>
      <c r="E93" s="174" t="s">
        <v>404</v>
      </c>
      <c r="F93" s="176" t="str">
        <f>_xlfn.DISPIMG("ID_E677F57F27E24C81B1D211E0BAB130A8",1)</f>
        <v>=DISPIMG("ID_E677F57F27E24C81B1D211E0BAB130A8",1)</v>
      </c>
    </row>
    <row r="94" s="168" customFormat="1" ht="70" customHeight="1" spans="1:6">
      <c r="A94" s="173">
        <v>92</v>
      </c>
      <c r="B94" s="174" t="s">
        <v>455</v>
      </c>
      <c r="C94" s="175" t="s">
        <v>456</v>
      </c>
      <c r="D94" s="173">
        <v>2</v>
      </c>
      <c r="E94" s="174" t="s">
        <v>311</v>
      </c>
      <c r="F94" s="176" t="str">
        <f>_xlfn.DISPIMG("ID_BCBA1E95BD414E96AB812B4DD678CA06",1)</f>
        <v>=DISPIMG("ID_BCBA1E95BD414E96AB812B4DD678CA06",1)</v>
      </c>
    </row>
    <row r="95" s="168" customFormat="1" ht="281" customHeight="1" spans="1:6">
      <c r="A95" s="173">
        <v>93</v>
      </c>
      <c r="B95" s="174" t="s">
        <v>457</v>
      </c>
      <c r="C95" s="114" t="s">
        <v>215</v>
      </c>
      <c r="D95" s="73">
        <v>4</v>
      </c>
      <c r="E95" s="73" t="s">
        <v>16</v>
      </c>
      <c r="F95" s="8"/>
    </row>
  </sheetData>
  <mergeCells count="5">
    <mergeCell ref="A1:F1"/>
    <mergeCell ref="B20:B21"/>
    <mergeCell ref="B43:B47"/>
    <mergeCell ref="F43:F47"/>
    <mergeCell ref="F52:F55"/>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opLeftCell="A7" workbookViewId="0">
      <selection activeCell="G12" sqref="G12"/>
    </sheetView>
  </sheetViews>
  <sheetFormatPr defaultColWidth="9" defaultRowHeight="13.5" outlineLevelCol="6"/>
  <cols>
    <col min="1" max="1" width="5.875" customWidth="1"/>
    <col min="3" max="3" width="45.75" customWidth="1"/>
    <col min="4" max="4" width="6.25" customWidth="1"/>
    <col min="5" max="5" width="7.125" customWidth="1"/>
    <col min="6" max="6" width="14.375" style="155" customWidth="1"/>
    <col min="7" max="7" width="10.375" customWidth="1"/>
  </cols>
  <sheetData>
    <row r="1" customFormat="1" ht="24" customHeight="1" spans="1:6">
      <c r="A1" s="156" t="s">
        <v>458</v>
      </c>
      <c r="B1" s="157"/>
      <c r="C1" s="157"/>
      <c r="D1" s="157"/>
      <c r="E1" s="157"/>
      <c r="F1" s="157"/>
    </row>
    <row r="2" s="154" customFormat="1" ht="16" customHeight="1" spans="1:6">
      <c r="A2" s="158" t="s">
        <v>1</v>
      </c>
      <c r="B2" s="158" t="s">
        <v>2</v>
      </c>
      <c r="C2" s="158" t="s">
        <v>222</v>
      </c>
      <c r="D2" s="158" t="s">
        <v>5</v>
      </c>
      <c r="E2" s="158" t="s">
        <v>4</v>
      </c>
      <c r="F2" s="159" t="s">
        <v>7</v>
      </c>
    </row>
    <row r="3" s="154" customFormat="1" ht="16" customHeight="1" spans="1:6">
      <c r="A3" s="160">
        <v>1</v>
      </c>
      <c r="B3" s="160" t="s">
        <v>8</v>
      </c>
      <c r="C3" s="161" t="s">
        <v>9</v>
      </c>
      <c r="D3" s="160">
        <v>1</v>
      </c>
      <c r="E3" s="160" t="s">
        <v>10</v>
      </c>
      <c r="F3" s="76"/>
    </row>
    <row r="4" customFormat="1" ht="230" customHeight="1" spans="1:6">
      <c r="A4" s="160">
        <v>2</v>
      </c>
      <c r="B4" s="160" t="s">
        <v>459</v>
      </c>
      <c r="C4" s="161" t="s">
        <v>460</v>
      </c>
      <c r="D4" s="160" t="s">
        <v>13</v>
      </c>
      <c r="E4" s="160">
        <v>1</v>
      </c>
      <c r="F4" s="162" t="str">
        <f>_xlfn.DISPIMG("ID_99BC2BC45B68493FB1B3FDDDF807B653",1)</f>
        <v>=DISPIMG("ID_99BC2BC45B68493FB1B3FDDDF807B653",1)</v>
      </c>
    </row>
    <row r="5" customFormat="1" ht="280" customHeight="1" spans="1:6">
      <c r="A5" s="160">
        <v>3</v>
      </c>
      <c r="B5" s="160" t="s">
        <v>461</v>
      </c>
      <c r="C5" s="161" t="s">
        <v>462</v>
      </c>
      <c r="D5" s="160" t="s">
        <v>13</v>
      </c>
      <c r="E5" s="160">
        <v>45</v>
      </c>
      <c r="F5" s="162" t="str">
        <f>_xlfn.DISPIMG("ID_D639B9DA2F9B4B6CAD76426FBB1037B1",1)</f>
        <v>=DISPIMG("ID_D639B9DA2F9B4B6CAD76426FBB1037B1",1)</v>
      </c>
    </row>
    <row r="6" customFormat="1" ht="297" customHeight="1" spans="1:6">
      <c r="A6" s="160">
        <v>4</v>
      </c>
      <c r="B6" s="160" t="s">
        <v>463</v>
      </c>
      <c r="C6" s="161" t="s">
        <v>464</v>
      </c>
      <c r="D6" s="160" t="s">
        <v>13</v>
      </c>
      <c r="E6" s="160">
        <v>1</v>
      </c>
      <c r="F6" s="162" t="str">
        <f>_xlfn.DISPIMG("ID_A236641305DE49D6BC54443B0C2671EE",1)</f>
        <v>=DISPIMG("ID_A236641305DE49D6BC54443B0C2671EE",1)</v>
      </c>
    </row>
    <row r="7" customFormat="1" ht="198" customHeight="1" spans="1:6">
      <c r="A7" s="160">
        <v>5</v>
      </c>
      <c r="B7" s="160" t="s">
        <v>465</v>
      </c>
      <c r="C7" s="161" t="s">
        <v>466</v>
      </c>
      <c r="D7" s="160" t="s">
        <v>13</v>
      </c>
      <c r="E7" s="160">
        <v>46</v>
      </c>
      <c r="F7" s="162" t="str">
        <f>_xlfn.DISPIMG("ID_315681F0547C442A91694AD73D228492",1)</f>
        <v>=DISPIMG("ID_315681F0547C442A91694AD73D228492",1)</v>
      </c>
    </row>
    <row r="8" customFormat="1" ht="45" customHeight="1" spans="1:6">
      <c r="A8" s="160">
        <v>6</v>
      </c>
      <c r="B8" s="160" t="s">
        <v>467</v>
      </c>
      <c r="C8" s="161" t="s">
        <v>468</v>
      </c>
      <c r="D8" s="160" t="s">
        <v>10</v>
      </c>
      <c r="E8" s="160">
        <v>46</v>
      </c>
      <c r="F8" s="162" t="str">
        <f>_xlfn.DISPIMG("ID_7E9C49339D594854BA167FB001511602",1)</f>
        <v>=DISPIMG("ID_7E9C49339D594854BA167FB001511602",1)</v>
      </c>
    </row>
    <row r="9" customFormat="1" ht="366" customHeight="1" spans="1:6">
      <c r="A9" s="163">
        <v>7</v>
      </c>
      <c r="B9" s="163" t="s">
        <v>469</v>
      </c>
      <c r="C9" s="161" t="s">
        <v>470</v>
      </c>
      <c r="D9" s="160" t="s">
        <v>10</v>
      </c>
      <c r="E9" s="160">
        <v>1</v>
      </c>
      <c r="F9" s="162" t="str">
        <f>_xlfn.DISPIMG("ID_EFB6D94FE0E34E2AAC00916E9DA18BD8",1)</f>
        <v>=DISPIMG("ID_EFB6D94FE0E34E2AAC00916E9DA18BD8",1)</v>
      </c>
    </row>
    <row r="10" customFormat="1" ht="366" customHeight="1" spans="1:6">
      <c r="A10" s="164"/>
      <c r="B10" s="164"/>
      <c r="C10" s="161" t="s">
        <v>471</v>
      </c>
      <c r="D10" s="160"/>
      <c r="E10" s="160"/>
      <c r="F10" s="165"/>
    </row>
    <row r="11" customFormat="1" ht="126" customHeight="1" spans="1:6">
      <c r="A11" s="160">
        <v>8</v>
      </c>
      <c r="B11" s="160" t="s">
        <v>472</v>
      </c>
      <c r="C11" s="161" t="s">
        <v>473</v>
      </c>
      <c r="D11" s="160" t="s">
        <v>13</v>
      </c>
      <c r="E11" s="160">
        <v>3</v>
      </c>
      <c r="F11" s="162" t="str">
        <f>_xlfn.DISPIMG("ID_DF63C76CABAF43E291C68383786090D5",1)</f>
        <v>=DISPIMG("ID_DF63C76CABAF43E291C68383786090D5",1)</v>
      </c>
    </row>
    <row r="12" customFormat="1" ht="138" customHeight="1" spans="1:6">
      <c r="A12" s="38">
        <v>9</v>
      </c>
      <c r="B12" s="38" t="s">
        <v>474</v>
      </c>
      <c r="C12" s="166" t="s">
        <v>475</v>
      </c>
      <c r="D12" s="38" t="s">
        <v>71</v>
      </c>
      <c r="E12" s="38">
        <v>25</v>
      </c>
      <c r="F12" s="162"/>
    </row>
    <row r="13" customFormat="1" ht="136" customHeight="1" spans="1:6">
      <c r="A13" s="160">
        <v>10</v>
      </c>
      <c r="B13" s="38" t="s">
        <v>476</v>
      </c>
      <c r="C13" s="166" t="s">
        <v>477</v>
      </c>
      <c r="D13" s="38" t="s">
        <v>58</v>
      </c>
      <c r="E13" s="38">
        <v>45</v>
      </c>
      <c r="F13" s="162"/>
    </row>
    <row r="14" customFormat="1" ht="221" customHeight="1" spans="1:6">
      <c r="A14" s="38">
        <v>11</v>
      </c>
      <c r="B14" s="38" t="s">
        <v>478</v>
      </c>
      <c r="C14" s="166" t="s">
        <v>479</v>
      </c>
      <c r="D14" s="38" t="s">
        <v>10</v>
      </c>
      <c r="E14" s="38">
        <v>1</v>
      </c>
      <c r="F14" s="162"/>
    </row>
    <row r="15" customFormat="1" ht="91" customHeight="1" spans="1:6">
      <c r="A15" s="160">
        <v>12</v>
      </c>
      <c r="B15" s="38" t="s">
        <v>480</v>
      </c>
      <c r="C15" s="166" t="s">
        <v>481</v>
      </c>
      <c r="D15" s="38" t="s">
        <v>58</v>
      </c>
      <c r="E15" s="38">
        <v>1</v>
      </c>
      <c r="F15" s="162"/>
    </row>
    <row r="16" customFormat="1" ht="45" customHeight="1" spans="1:7">
      <c r="A16" s="38">
        <v>13</v>
      </c>
      <c r="B16" s="38" t="s">
        <v>482</v>
      </c>
      <c r="C16" s="166" t="s">
        <v>483</v>
      </c>
      <c r="D16" s="38" t="s">
        <v>13</v>
      </c>
      <c r="E16" s="38">
        <v>1</v>
      </c>
      <c r="F16" s="162" t="str">
        <f>_xlfn.DISPIMG("ID_4B59346AC2474235BCE8B592E818AA9D",1)</f>
        <v>=DISPIMG("ID_4B59346AC2474235BCE8B592E818AA9D",1)</v>
      </c>
      <c r="G16" s="167"/>
    </row>
    <row r="17" customFormat="1" ht="22.5" spans="1:6">
      <c r="A17" s="38">
        <v>14</v>
      </c>
      <c r="B17" s="38" t="s">
        <v>484</v>
      </c>
      <c r="C17" s="166" t="s">
        <v>485</v>
      </c>
      <c r="D17" s="38" t="s">
        <v>269</v>
      </c>
      <c r="E17" s="38">
        <v>1</v>
      </c>
      <c r="F17" s="162"/>
    </row>
    <row r="18" customFormat="1" ht="42" customHeight="1" spans="1:6">
      <c r="A18" s="38">
        <v>15</v>
      </c>
      <c r="B18" s="160" t="s">
        <v>486</v>
      </c>
      <c r="C18" s="161" t="s">
        <v>487</v>
      </c>
      <c r="D18" s="160" t="s">
        <v>488</v>
      </c>
      <c r="E18" s="160">
        <v>3</v>
      </c>
      <c r="F18" s="162" t="str">
        <f>_xlfn.DISPIMG("ID_3B9A471163F540FBAC9D5227B2548B5B",1)</f>
        <v>=DISPIMG("ID_3B9A471163F540FBAC9D5227B2548B5B",1)</v>
      </c>
    </row>
  </sheetData>
  <mergeCells count="3">
    <mergeCell ref="A1:F1"/>
    <mergeCell ref="A9:A10"/>
    <mergeCell ref="B9:B10"/>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0"/>
  <sheetViews>
    <sheetView zoomScale="90" zoomScaleNormal="90" topLeftCell="A87" workbookViewId="0">
      <selection activeCell="C95" sqref="C95"/>
    </sheetView>
  </sheetViews>
  <sheetFormatPr defaultColWidth="9" defaultRowHeight="59.25" customHeight="1" outlineLevelCol="6"/>
  <cols>
    <col min="1" max="1" width="5.75" style="117" customWidth="1"/>
    <col min="2" max="2" width="15.6333333333333" style="118" customWidth="1"/>
    <col min="3" max="3" width="110.691666666667" style="119" customWidth="1"/>
    <col min="4" max="4" width="7.13333333333333" style="115" customWidth="1"/>
    <col min="5" max="5" width="6" style="115" customWidth="1"/>
    <col min="6" max="6" width="20" style="115" customWidth="1"/>
    <col min="7" max="7" width="9.88333333333333" style="115" customWidth="1"/>
    <col min="8" max="8" width="16.8" style="115" customWidth="1"/>
    <col min="9" max="16384" width="9" style="115"/>
  </cols>
  <sheetData>
    <row r="1" s="115" customFormat="1" ht="21" spans="1:7">
      <c r="A1" s="120" t="s">
        <v>489</v>
      </c>
      <c r="B1" s="121"/>
      <c r="C1" s="121"/>
      <c r="D1" s="121"/>
      <c r="E1" s="121"/>
      <c r="F1" s="121"/>
      <c r="G1" s="122"/>
    </row>
    <row r="2" s="116" customFormat="1" ht="21" customHeight="1" spans="1:7">
      <c r="A2" s="123" t="s">
        <v>1</v>
      </c>
      <c r="B2" s="123" t="s">
        <v>2</v>
      </c>
      <c r="C2" s="123" t="s">
        <v>3</v>
      </c>
      <c r="D2" s="123" t="s">
        <v>4</v>
      </c>
      <c r="E2" s="123" t="s">
        <v>5</v>
      </c>
      <c r="F2" s="123" t="s">
        <v>6</v>
      </c>
      <c r="G2" s="123" t="s">
        <v>7</v>
      </c>
    </row>
    <row r="3" s="116" customFormat="1" ht="15" customHeight="1" spans="1:7">
      <c r="A3" s="124" t="s">
        <v>490</v>
      </c>
      <c r="B3" s="125"/>
      <c r="C3" s="126"/>
      <c r="D3" s="123"/>
      <c r="E3" s="123"/>
      <c r="F3" s="123"/>
      <c r="G3" s="123"/>
    </row>
    <row r="4" s="116" customFormat="1" ht="21" customHeight="1" spans="1:7">
      <c r="A4" s="76">
        <v>1</v>
      </c>
      <c r="B4" s="73" t="s">
        <v>8</v>
      </c>
      <c r="C4" s="102" t="s">
        <v>9</v>
      </c>
      <c r="D4" s="76">
        <v>1</v>
      </c>
      <c r="E4" s="76" t="s">
        <v>10</v>
      </c>
      <c r="F4" s="123"/>
      <c r="G4" s="123"/>
    </row>
    <row r="5" s="117" customFormat="1" ht="69.6" customHeight="1" spans="1:7">
      <c r="A5" s="127">
        <v>2</v>
      </c>
      <c r="B5" s="127" t="s">
        <v>491</v>
      </c>
      <c r="C5" s="102" t="s">
        <v>492</v>
      </c>
      <c r="D5" s="127">
        <v>1</v>
      </c>
      <c r="E5" s="127" t="s">
        <v>71</v>
      </c>
      <c r="F5" s="128" t="str">
        <f>_xlfn.DISPIMG("ID_B54584A7CE5747F6BC2CAF210ADF0521",1)</f>
        <v>=DISPIMG("ID_B54584A7CE5747F6BC2CAF210ADF0521",1)</v>
      </c>
      <c r="G5" s="129"/>
    </row>
    <row r="6" s="117" customFormat="1" ht="69.6" customHeight="1" spans="1:7">
      <c r="A6" s="127">
        <v>3</v>
      </c>
      <c r="B6" s="127" t="s">
        <v>493</v>
      </c>
      <c r="C6" s="102" t="s">
        <v>494</v>
      </c>
      <c r="D6" s="127">
        <v>6</v>
      </c>
      <c r="E6" s="127" t="s">
        <v>71</v>
      </c>
      <c r="F6" s="128" t="str">
        <f>_xlfn.DISPIMG("ID_ABD089436D604A24A60DCD01D94B1D5D",1)</f>
        <v>=DISPIMG("ID_ABD089436D604A24A60DCD01D94B1D5D",1)</v>
      </c>
      <c r="G6" s="130"/>
    </row>
    <row r="7" s="117" customFormat="1" ht="59.45" customHeight="1" spans="1:7">
      <c r="A7" s="127">
        <v>4</v>
      </c>
      <c r="B7" s="127" t="s">
        <v>74</v>
      </c>
      <c r="C7" s="102" t="s">
        <v>75</v>
      </c>
      <c r="D7" s="127">
        <v>46</v>
      </c>
      <c r="E7" s="127" t="s">
        <v>71</v>
      </c>
      <c r="F7" s="128" t="str">
        <f>_xlfn.DISPIMG("ID_89668C22058B4B3586931C71F803F5F6",1)</f>
        <v>=DISPIMG("ID_89668C22058B4B3586931C71F803F5F6",1)</v>
      </c>
      <c r="G7" s="130"/>
    </row>
    <row r="8" s="117" customFormat="1" ht="51" customHeight="1" spans="1:7">
      <c r="A8" s="127">
        <v>5</v>
      </c>
      <c r="B8" s="127" t="s">
        <v>495</v>
      </c>
      <c r="C8" s="131" t="s">
        <v>496</v>
      </c>
      <c r="D8" s="127">
        <v>1</v>
      </c>
      <c r="E8" s="127" t="s">
        <v>10</v>
      </c>
      <c r="F8" s="128" t="str">
        <f>_xlfn.DISPIMG("ID_04E86AE32D6A4909A62F1C7E3CF524B1",1)</f>
        <v>=DISPIMG("ID_04E86AE32D6A4909A62F1C7E3CF524B1",1)</v>
      </c>
      <c r="G8" s="128"/>
    </row>
    <row r="9" s="117" customFormat="1" ht="53.45" customHeight="1" spans="1:7">
      <c r="A9" s="127">
        <v>6</v>
      </c>
      <c r="B9" s="127" t="s">
        <v>497</v>
      </c>
      <c r="C9" s="132" t="s">
        <v>498</v>
      </c>
      <c r="D9" s="127">
        <v>24</v>
      </c>
      <c r="E9" s="127" t="s">
        <v>10</v>
      </c>
      <c r="F9" s="128" t="str">
        <f>_xlfn.DISPIMG("ID_A77C149F9EA14A13A8C184B1ED2AC423",1)</f>
        <v>=DISPIMG("ID_A77C149F9EA14A13A8C184B1ED2AC423",1)</v>
      </c>
      <c r="G9" s="128"/>
    </row>
    <row r="10" s="117" customFormat="1" ht="47.45" customHeight="1" spans="1:7">
      <c r="A10" s="127">
        <v>7</v>
      </c>
      <c r="B10" s="127" t="s">
        <v>499</v>
      </c>
      <c r="C10" s="127" t="s">
        <v>500</v>
      </c>
      <c r="D10" s="127">
        <v>6</v>
      </c>
      <c r="E10" s="127" t="s">
        <v>71</v>
      </c>
      <c r="F10" s="128" t="str">
        <f>_xlfn.DISPIMG("ID_34854A44DB864ABAA93C812215296DA4",1)</f>
        <v>=DISPIMG("ID_34854A44DB864ABAA93C812215296DA4",1)</v>
      </c>
      <c r="G10" s="128"/>
    </row>
    <row r="11" s="117" customFormat="1" ht="47.45" customHeight="1" spans="1:7">
      <c r="A11" s="127">
        <v>8</v>
      </c>
      <c r="B11" s="127" t="s">
        <v>501</v>
      </c>
      <c r="C11" s="132" t="s">
        <v>502</v>
      </c>
      <c r="D11" s="127">
        <v>1</v>
      </c>
      <c r="E11" s="133" t="s">
        <v>10</v>
      </c>
      <c r="F11" s="128" t="str">
        <f>_xlfn.DISPIMG("ID_02D6FF77E3004997938C3B1FAEC8EF21",1)</f>
        <v>=DISPIMG("ID_02D6FF77E3004997938C3B1FAEC8EF21",1)</v>
      </c>
      <c r="G11" s="128"/>
    </row>
    <row r="12" s="117" customFormat="1" ht="28.5" spans="1:7">
      <c r="A12" s="127">
        <v>9</v>
      </c>
      <c r="B12" s="134" t="s">
        <v>89</v>
      </c>
      <c r="C12" s="135" t="s">
        <v>90</v>
      </c>
      <c r="D12" s="127">
        <v>1</v>
      </c>
      <c r="E12" s="133" t="s">
        <v>10</v>
      </c>
      <c r="F12" s="128"/>
      <c r="G12" s="128"/>
    </row>
    <row r="13" s="117" customFormat="1" ht="16.5" spans="1:7">
      <c r="A13" s="136">
        <v>10</v>
      </c>
      <c r="B13" s="137" t="s">
        <v>91</v>
      </c>
      <c r="C13" s="138" t="s">
        <v>91</v>
      </c>
      <c r="D13" s="136">
        <v>1</v>
      </c>
      <c r="E13" s="139" t="s">
        <v>10</v>
      </c>
      <c r="F13" s="140"/>
      <c r="G13" s="140"/>
    </row>
    <row r="14" s="117" customFormat="1" ht="18.75" customHeight="1" spans="1:7">
      <c r="A14" s="124" t="s">
        <v>503</v>
      </c>
      <c r="B14" s="125"/>
      <c r="C14" s="126"/>
      <c r="D14" s="127"/>
      <c r="E14" s="133"/>
      <c r="F14" s="128"/>
      <c r="G14" s="128"/>
    </row>
    <row r="15" s="117" customFormat="1" customHeight="1" spans="1:7">
      <c r="A15" s="133">
        <v>1</v>
      </c>
      <c r="B15" s="127" t="s">
        <v>504</v>
      </c>
      <c r="C15" s="141" t="s">
        <v>505</v>
      </c>
      <c r="D15" s="142">
        <v>12</v>
      </c>
      <c r="E15" s="142" t="s">
        <v>58</v>
      </c>
      <c r="F15" s="128" t="str">
        <f>_xlfn.DISPIMG("ID_B9EE59FA389548F583BFDF98D008F3E6",1)</f>
        <v>=DISPIMG("ID_B9EE59FA389548F583BFDF98D008F3E6",1)</v>
      </c>
      <c r="G15" s="128"/>
    </row>
    <row r="16" s="117" customFormat="1" customHeight="1" spans="1:7">
      <c r="A16" s="133">
        <v>2</v>
      </c>
      <c r="B16" s="127" t="s">
        <v>506</v>
      </c>
      <c r="C16" s="141" t="s">
        <v>507</v>
      </c>
      <c r="D16" s="142">
        <v>12</v>
      </c>
      <c r="E16" s="142" t="s">
        <v>58</v>
      </c>
      <c r="F16" s="128" t="str">
        <f>_xlfn.DISPIMG("ID_356A67A083D54C22B00C726BA2F94285",1)</f>
        <v>=DISPIMG("ID_356A67A083D54C22B00C726BA2F94285",1)</v>
      </c>
      <c r="G16" s="128"/>
    </row>
    <row r="17" s="117" customFormat="1" customHeight="1" spans="1:7">
      <c r="A17" s="133">
        <v>3</v>
      </c>
      <c r="B17" s="127" t="s">
        <v>508</v>
      </c>
      <c r="C17" s="141" t="s">
        <v>509</v>
      </c>
      <c r="D17" s="142">
        <v>12</v>
      </c>
      <c r="E17" s="142" t="s">
        <v>58</v>
      </c>
      <c r="F17" s="128" t="str">
        <f>_xlfn.DISPIMG("ID_A95DD52E6F414276B12AD3BD5D5871BC",1)</f>
        <v>=DISPIMG("ID_A95DD52E6F414276B12AD3BD5D5871BC",1)</v>
      </c>
      <c r="G17" s="128"/>
    </row>
    <row r="18" s="117" customFormat="1" customHeight="1" spans="1:7">
      <c r="A18" s="133">
        <v>4</v>
      </c>
      <c r="B18" s="127" t="s">
        <v>510</v>
      </c>
      <c r="C18" s="141" t="s">
        <v>511</v>
      </c>
      <c r="D18" s="142">
        <v>12</v>
      </c>
      <c r="E18" s="142" t="s">
        <v>58</v>
      </c>
      <c r="F18" s="128" t="str">
        <f>_xlfn.DISPIMG("ID_0A9DEFBCDC654554B8CE68A055354CB4",1)</f>
        <v>=DISPIMG("ID_0A9DEFBCDC654554B8CE68A055354CB4",1)</v>
      </c>
      <c r="G18" s="128"/>
    </row>
    <row r="19" s="117" customFormat="1" customHeight="1" spans="1:7">
      <c r="A19" s="133">
        <v>5</v>
      </c>
      <c r="B19" s="127" t="s">
        <v>512</v>
      </c>
      <c r="C19" s="141" t="s">
        <v>513</v>
      </c>
      <c r="D19" s="142">
        <v>12</v>
      </c>
      <c r="E19" s="142" t="s">
        <v>58</v>
      </c>
      <c r="F19" s="128" t="str">
        <f>_xlfn.DISPIMG("ID_DBA15C9750AF46E7BC4B0FF8C6DE8963",1)</f>
        <v>=DISPIMG("ID_DBA15C9750AF46E7BC4B0FF8C6DE8963",1)</v>
      </c>
      <c r="G19" s="128"/>
    </row>
    <row r="20" s="117" customFormat="1" customHeight="1" spans="1:7">
      <c r="A20" s="133">
        <v>6</v>
      </c>
      <c r="B20" s="127" t="s">
        <v>514</v>
      </c>
      <c r="C20" s="141" t="s">
        <v>515</v>
      </c>
      <c r="D20" s="142">
        <v>12</v>
      </c>
      <c r="E20" s="142" t="s">
        <v>58</v>
      </c>
      <c r="F20" s="128" t="str">
        <f>_xlfn.DISPIMG("ID_D4DF8B9648B24891A4348CC7B584D1E6",1)</f>
        <v>=DISPIMG("ID_D4DF8B9648B24891A4348CC7B584D1E6",1)</v>
      </c>
      <c r="G20" s="128"/>
    </row>
    <row r="21" s="117" customFormat="1" customHeight="1" spans="1:7">
      <c r="A21" s="133">
        <v>7</v>
      </c>
      <c r="B21" s="127" t="s">
        <v>516</v>
      </c>
      <c r="C21" s="141" t="s">
        <v>517</v>
      </c>
      <c r="D21" s="142">
        <v>12</v>
      </c>
      <c r="E21" s="142" t="s">
        <v>58</v>
      </c>
      <c r="F21" s="128" t="str">
        <f>_xlfn.DISPIMG("ID_E0EB41501152498BA1C4E9D373A6F66E",1)</f>
        <v>=DISPIMG("ID_E0EB41501152498BA1C4E9D373A6F66E",1)</v>
      </c>
      <c r="G21" s="128"/>
    </row>
    <row r="22" s="117" customFormat="1" customHeight="1" spans="1:7">
      <c r="A22" s="133">
        <v>8</v>
      </c>
      <c r="B22" s="127" t="s">
        <v>518</v>
      </c>
      <c r="C22" s="141" t="s">
        <v>519</v>
      </c>
      <c r="D22" s="142">
        <v>12</v>
      </c>
      <c r="E22" s="142" t="s">
        <v>58</v>
      </c>
      <c r="F22" s="128" t="str">
        <f>_xlfn.DISPIMG("ID_0B4F91F084DB4B13A781825AF0061C8A",1)</f>
        <v>=DISPIMG("ID_0B4F91F084DB4B13A781825AF0061C8A",1)</v>
      </c>
      <c r="G22" s="128"/>
    </row>
    <row r="23" s="117" customFormat="1" customHeight="1" spans="1:7">
      <c r="A23" s="133">
        <v>9</v>
      </c>
      <c r="B23" s="127" t="s">
        <v>520</v>
      </c>
      <c r="C23" s="141" t="s">
        <v>521</v>
      </c>
      <c r="D23" s="142">
        <v>12</v>
      </c>
      <c r="E23" s="142" t="s">
        <v>58</v>
      </c>
      <c r="F23" s="128" t="str">
        <f>_xlfn.DISPIMG("ID_596F8AB927E44D92A1A9EA40027B458E",1)</f>
        <v>=DISPIMG("ID_596F8AB927E44D92A1A9EA40027B458E",1)</v>
      </c>
      <c r="G23" s="128"/>
    </row>
    <row r="24" s="117" customFormat="1" customHeight="1" spans="1:7">
      <c r="A24" s="133">
        <v>10</v>
      </c>
      <c r="B24" s="127" t="s">
        <v>522</v>
      </c>
      <c r="C24" s="141" t="s">
        <v>523</v>
      </c>
      <c r="D24" s="142">
        <v>12</v>
      </c>
      <c r="E24" s="142" t="s">
        <v>58</v>
      </c>
      <c r="F24" s="128" t="str">
        <f>_xlfn.DISPIMG("ID_CCD72B263FB04D09B56A805B523A58DD",1)</f>
        <v>=DISPIMG("ID_CCD72B263FB04D09B56A805B523A58DD",1)</v>
      </c>
      <c r="G24" s="128"/>
    </row>
    <row r="25" s="117" customFormat="1" customHeight="1" spans="1:7">
      <c r="A25" s="133">
        <v>11</v>
      </c>
      <c r="B25" s="127" t="s">
        <v>524</v>
      </c>
      <c r="C25" s="141" t="s">
        <v>525</v>
      </c>
      <c r="D25" s="142">
        <v>12</v>
      </c>
      <c r="E25" s="142" t="s">
        <v>58</v>
      </c>
      <c r="F25" s="128" t="str">
        <f>_xlfn.DISPIMG("ID_10B35444EC6C4452A890D055B580E19E",1)</f>
        <v>=DISPIMG("ID_10B35444EC6C4452A890D055B580E19E",1)</v>
      </c>
      <c r="G25" s="128"/>
    </row>
    <row r="26" s="117" customFormat="1" customHeight="1" spans="1:7">
      <c r="A26" s="133">
        <v>12</v>
      </c>
      <c r="B26" s="127" t="s">
        <v>526</v>
      </c>
      <c r="C26" s="141" t="s">
        <v>527</v>
      </c>
      <c r="D26" s="142">
        <v>12</v>
      </c>
      <c r="E26" s="142" t="s">
        <v>58</v>
      </c>
      <c r="F26" s="128" t="str">
        <f>_xlfn.DISPIMG("ID_402D0065464845B2BE4933C00F4E38E1",1)</f>
        <v>=DISPIMG("ID_402D0065464845B2BE4933C00F4E38E1",1)</v>
      </c>
      <c r="G26" s="128"/>
    </row>
    <row r="27" s="117" customFormat="1" ht="43.15" customHeight="1" spans="1:7">
      <c r="A27" s="133">
        <v>13</v>
      </c>
      <c r="B27" s="127" t="s">
        <v>528</v>
      </c>
      <c r="C27" s="141" t="s">
        <v>529</v>
      </c>
      <c r="D27" s="142">
        <v>12</v>
      </c>
      <c r="E27" s="142" t="s">
        <v>16</v>
      </c>
      <c r="F27" s="128"/>
      <c r="G27" s="128"/>
    </row>
    <row r="28" s="117" customFormat="1" ht="21.75" customHeight="1" spans="1:7">
      <c r="A28" s="124" t="s">
        <v>530</v>
      </c>
      <c r="B28" s="125"/>
      <c r="C28" s="126"/>
      <c r="D28" s="142"/>
      <c r="E28" s="142"/>
      <c r="F28" s="128"/>
      <c r="G28" s="128"/>
    </row>
    <row r="29" s="117" customFormat="1" customHeight="1" spans="1:7">
      <c r="A29" s="133">
        <v>1</v>
      </c>
      <c r="B29" s="127" t="s">
        <v>531</v>
      </c>
      <c r="C29" s="143" t="s">
        <v>532</v>
      </c>
      <c r="D29" s="142">
        <v>12</v>
      </c>
      <c r="E29" s="142" t="s">
        <v>10</v>
      </c>
      <c r="F29" s="128" t="str">
        <f>_xlfn.DISPIMG("ID_CBA2514FF81340A9BD2383F653F423CB",1)</f>
        <v>=DISPIMG("ID_CBA2514FF81340A9BD2383F653F423CB",1)</v>
      </c>
      <c r="G29" s="130"/>
    </row>
    <row r="30" s="117" customFormat="1" customHeight="1" spans="1:7">
      <c r="A30" s="133">
        <v>2</v>
      </c>
      <c r="B30" s="127" t="s">
        <v>533</v>
      </c>
      <c r="C30" s="132" t="s">
        <v>534</v>
      </c>
      <c r="D30" s="142">
        <v>12</v>
      </c>
      <c r="E30" s="142" t="s">
        <v>10</v>
      </c>
      <c r="F30" s="128" t="str">
        <f>_xlfn.DISPIMG("ID_9BDEBC69B2664269A0891987E83EE8E6",1)</f>
        <v>=DISPIMG("ID_9BDEBC69B2664269A0891987E83EE8E6",1)</v>
      </c>
      <c r="G30" s="128"/>
    </row>
    <row r="31" s="117" customFormat="1" ht="55.9" customHeight="1" spans="1:7">
      <c r="A31" s="133">
        <v>3</v>
      </c>
      <c r="B31" s="142" t="s">
        <v>535</v>
      </c>
      <c r="C31" s="141" t="s">
        <v>536</v>
      </c>
      <c r="D31" s="142">
        <v>12</v>
      </c>
      <c r="E31" s="142" t="s">
        <v>16</v>
      </c>
      <c r="F31" s="128" t="str">
        <f>_xlfn.DISPIMG("ID_1F1B8B2B061E404D8F10BDF9D327CA7E",1)</f>
        <v>=DISPIMG("ID_1F1B8B2B061E404D8F10BDF9D327CA7E",1)</v>
      </c>
      <c r="G31" s="128"/>
    </row>
    <row r="32" s="117" customFormat="1" ht="28.5" spans="1:7">
      <c r="A32" s="133">
        <v>4</v>
      </c>
      <c r="B32" s="142" t="s">
        <v>537</v>
      </c>
      <c r="C32" s="141" t="s">
        <v>538</v>
      </c>
      <c r="D32" s="142">
        <v>12</v>
      </c>
      <c r="E32" s="142" t="s">
        <v>10</v>
      </c>
      <c r="F32" s="128"/>
      <c r="G32" s="128"/>
    </row>
    <row r="33" s="117" customFormat="1" ht="16.5" spans="1:7">
      <c r="A33" s="133">
        <v>5</v>
      </c>
      <c r="B33" s="142" t="s">
        <v>528</v>
      </c>
      <c r="C33" s="141" t="s">
        <v>529</v>
      </c>
      <c r="D33" s="142">
        <v>12</v>
      </c>
      <c r="E33" s="142" t="s">
        <v>16</v>
      </c>
      <c r="F33" s="128"/>
      <c r="G33" s="128"/>
    </row>
    <row r="34" s="117" customFormat="1" ht="18" customHeight="1" spans="1:7">
      <c r="A34" s="124" t="s">
        <v>539</v>
      </c>
      <c r="B34" s="125"/>
      <c r="C34" s="126"/>
      <c r="D34" s="142"/>
      <c r="E34" s="142"/>
      <c r="F34" s="128"/>
      <c r="G34" s="128"/>
    </row>
    <row r="35" s="117" customFormat="1" customHeight="1" spans="1:7">
      <c r="A35" s="133">
        <v>1</v>
      </c>
      <c r="B35" s="142" t="s">
        <v>540</v>
      </c>
      <c r="C35" s="141" t="s">
        <v>541</v>
      </c>
      <c r="D35" s="142">
        <v>12</v>
      </c>
      <c r="E35" s="142" t="s">
        <v>10</v>
      </c>
      <c r="F35" s="128" t="str">
        <f>_xlfn.DISPIMG("ID_1B7C2E8CCB2A4FFF8751E75F30B77220",1)</f>
        <v>=DISPIMG("ID_1B7C2E8CCB2A4FFF8751E75F30B77220",1)</v>
      </c>
      <c r="G35" s="128"/>
    </row>
    <row r="36" s="117" customFormat="1" customHeight="1" spans="1:7">
      <c r="A36" s="133">
        <v>2</v>
      </c>
      <c r="B36" s="142" t="s">
        <v>542</v>
      </c>
      <c r="C36" s="141" t="s">
        <v>543</v>
      </c>
      <c r="D36" s="142">
        <v>12</v>
      </c>
      <c r="E36" s="142" t="s">
        <v>10</v>
      </c>
      <c r="F36" s="128" t="str">
        <f>_xlfn.DISPIMG("ID_9DEF71F52E3B482083CA026923A8DA47",1)</f>
        <v>=DISPIMG("ID_9DEF71F52E3B482083CA026923A8DA47",1)</v>
      </c>
      <c r="G36" s="128"/>
    </row>
    <row r="37" s="117" customFormat="1" customHeight="1" spans="1:7">
      <c r="A37" s="133">
        <v>3</v>
      </c>
      <c r="B37" s="127" t="s">
        <v>544</v>
      </c>
      <c r="C37" s="132" t="s">
        <v>545</v>
      </c>
      <c r="D37" s="142">
        <v>12</v>
      </c>
      <c r="E37" s="142" t="s">
        <v>10</v>
      </c>
      <c r="F37" s="128" t="str">
        <f>_xlfn.DISPIMG("ID_F07C3C90F45C4FBEB459FF02C448D367",1)</f>
        <v>=DISPIMG("ID_F07C3C90F45C4FBEB459FF02C448D367",1)</v>
      </c>
      <c r="G37" s="128"/>
    </row>
    <row r="38" s="117" customFormat="1" customHeight="1" spans="1:7">
      <c r="A38" s="133">
        <v>4</v>
      </c>
      <c r="B38" s="127" t="s">
        <v>546</v>
      </c>
      <c r="C38" s="132" t="s">
        <v>547</v>
      </c>
      <c r="D38" s="142">
        <v>12</v>
      </c>
      <c r="E38" s="142" t="s">
        <v>10</v>
      </c>
      <c r="F38" s="128" t="str">
        <f>_xlfn.DISPIMG("ID_8DFFEA200A554DDD80AE1F4B589C70A9",1)</f>
        <v>=DISPIMG("ID_8DFFEA200A554DDD80AE1F4B589C70A9",1)</v>
      </c>
      <c r="G38" s="128"/>
    </row>
    <row r="39" s="117" customFormat="1" customHeight="1" spans="1:7">
      <c r="A39" s="133">
        <v>5</v>
      </c>
      <c r="B39" s="142" t="s">
        <v>548</v>
      </c>
      <c r="C39" s="141" t="s">
        <v>549</v>
      </c>
      <c r="D39" s="142">
        <v>12</v>
      </c>
      <c r="E39" s="142" t="s">
        <v>16</v>
      </c>
      <c r="F39" s="128" t="str">
        <f>_xlfn.DISPIMG("ID_020D482F10084A73BD29C98AF6F613F7",1)</f>
        <v>=DISPIMG("ID_020D482F10084A73BD29C98AF6F613F7",1)</v>
      </c>
      <c r="G39" s="128"/>
    </row>
    <row r="40" s="117" customFormat="1" ht="52.9" customHeight="1" spans="1:7">
      <c r="A40" s="133">
        <v>6</v>
      </c>
      <c r="B40" s="127" t="s">
        <v>550</v>
      </c>
      <c r="C40" s="132" t="s">
        <v>551</v>
      </c>
      <c r="D40" s="142">
        <v>12</v>
      </c>
      <c r="E40" s="142" t="s">
        <v>10</v>
      </c>
      <c r="F40" s="128" t="str">
        <f>_xlfn.DISPIMG("ID_20AD84A3016A46ECB0DDA07A4ED78EE4",1)</f>
        <v>=DISPIMG("ID_20AD84A3016A46ECB0DDA07A4ED78EE4",1)</v>
      </c>
      <c r="G40" s="128"/>
    </row>
    <row r="41" s="117" customFormat="1" ht="37.15" customHeight="1" spans="1:7">
      <c r="A41" s="133">
        <v>7</v>
      </c>
      <c r="B41" s="142" t="s">
        <v>552</v>
      </c>
      <c r="C41" s="141" t="s">
        <v>553</v>
      </c>
      <c r="D41" s="142">
        <v>12</v>
      </c>
      <c r="E41" s="142" t="s">
        <v>16</v>
      </c>
      <c r="F41" s="128" t="str">
        <f>_xlfn.DISPIMG("ID_5288EFA6834B4A06A0A4204FC05E1E10",1)</f>
        <v>=DISPIMG("ID_5288EFA6834B4A06A0A4204FC05E1E10",1)</v>
      </c>
      <c r="G41" s="128"/>
    </row>
    <row r="42" s="117" customFormat="1" customHeight="1" spans="1:7">
      <c r="A42" s="133">
        <v>8</v>
      </c>
      <c r="B42" s="142" t="s">
        <v>554</v>
      </c>
      <c r="C42" s="141" t="s">
        <v>555</v>
      </c>
      <c r="D42" s="142">
        <v>12</v>
      </c>
      <c r="E42" s="142" t="s">
        <v>16</v>
      </c>
      <c r="F42" s="128" t="str">
        <f>_xlfn.DISPIMG("ID_00C3728D78CF404F99FF0D57A4EC7B1C",1)</f>
        <v>=DISPIMG("ID_00C3728D78CF404F99FF0D57A4EC7B1C",1)</v>
      </c>
      <c r="G42" s="128"/>
    </row>
    <row r="43" s="117" customFormat="1" customHeight="1" spans="1:7">
      <c r="A43" s="133">
        <v>9</v>
      </c>
      <c r="B43" s="127" t="s">
        <v>556</v>
      </c>
      <c r="C43" s="132" t="s">
        <v>557</v>
      </c>
      <c r="D43" s="142">
        <v>12</v>
      </c>
      <c r="E43" s="127" t="s">
        <v>10</v>
      </c>
      <c r="F43" s="128" t="str">
        <f>_xlfn.DISPIMG("ID_165C5B576F0746A08DDE6E1CE04F8B68",1)</f>
        <v>=DISPIMG("ID_165C5B576F0746A08DDE6E1CE04F8B68",1)</v>
      </c>
      <c r="G43" s="128"/>
    </row>
    <row r="44" s="117" customFormat="1" customHeight="1" spans="1:7">
      <c r="A44" s="133">
        <v>10</v>
      </c>
      <c r="B44" s="142" t="s">
        <v>558</v>
      </c>
      <c r="C44" s="141" t="s">
        <v>559</v>
      </c>
      <c r="D44" s="142">
        <v>12</v>
      </c>
      <c r="E44" s="142" t="s">
        <v>10</v>
      </c>
      <c r="F44" s="128" t="str">
        <f>_xlfn.DISPIMG("ID_04B5889C5C0643ED918B0C5EB54AEF8A",1)</f>
        <v>=DISPIMG("ID_04B5889C5C0643ED918B0C5EB54AEF8A",1)</v>
      </c>
      <c r="G44" s="128"/>
    </row>
    <row r="45" s="117" customFormat="1" customHeight="1" spans="1:7">
      <c r="A45" s="133">
        <v>11</v>
      </c>
      <c r="B45" s="142" t="s">
        <v>560</v>
      </c>
      <c r="C45" s="132" t="s">
        <v>561</v>
      </c>
      <c r="D45" s="142">
        <v>12</v>
      </c>
      <c r="E45" s="142" t="s">
        <v>10</v>
      </c>
      <c r="F45" s="128" t="str">
        <f>_xlfn.DISPIMG("ID_484A596E27E4414F96E013C24E7560B4",1)</f>
        <v>=DISPIMG("ID_484A596E27E4414F96E013C24E7560B4",1)</v>
      </c>
      <c r="G45" s="128"/>
    </row>
    <row r="46" s="117" customFormat="1" ht="63.75" customHeight="1" spans="1:7">
      <c r="A46" s="133">
        <v>12</v>
      </c>
      <c r="B46" s="142" t="s">
        <v>562</v>
      </c>
      <c r="C46" s="132" t="s">
        <v>563</v>
      </c>
      <c r="D46" s="142">
        <v>12</v>
      </c>
      <c r="E46" s="142" t="s">
        <v>10</v>
      </c>
      <c r="F46" s="128" t="str">
        <f>_xlfn.DISPIMG("ID_D56F02595E404B0F972EA1B5962782FA",1)</f>
        <v>=DISPIMG("ID_D56F02595E404B0F972EA1B5962782FA",1)</v>
      </c>
      <c r="G46" s="128"/>
    </row>
    <row r="47" s="117" customFormat="1" ht="21.75" customHeight="1" spans="1:7">
      <c r="A47" s="124" t="s">
        <v>564</v>
      </c>
      <c r="B47" s="125"/>
      <c r="C47" s="126"/>
      <c r="D47" s="142"/>
      <c r="E47" s="142"/>
      <c r="F47" s="128"/>
      <c r="G47" s="128"/>
    </row>
    <row r="48" s="117" customFormat="1" ht="51" customHeight="1" spans="1:7">
      <c r="A48" s="133">
        <v>1</v>
      </c>
      <c r="B48" s="142" t="s">
        <v>565</v>
      </c>
      <c r="C48" s="132" t="s">
        <v>566</v>
      </c>
      <c r="D48" s="142">
        <v>6</v>
      </c>
      <c r="E48" s="127" t="s">
        <v>10</v>
      </c>
      <c r="F48" s="128" t="str">
        <f>_xlfn.DISPIMG("ID_513CE3C378874F148B764DE21D59D9FE",1)</f>
        <v>=DISPIMG("ID_513CE3C378874F148B764DE21D59D9FE",1)</v>
      </c>
      <c r="G48" s="128"/>
    </row>
    <row r="49" s="117" customFormat="1" customHeight="1" spans="1:7">
      <c r="A49" s="133">
        <v>2</v>
      </c>
      <c r="B49" s="142" t="s">
        <v>567</v>
      </c>
      <c r="C49" s="132" t="s">
        <v>568</v>
      </c>
      <c r="D49" s="142">
        <v>6</v>
      </c>
      <c r="E49" s="127" t="s">
        <v>10</v>
      </c>
      <c r="F49" s="128" t="str">
        <f>_xlfn.DISPIMG("ID_CD4985B1685A456FA90E6AB225F219DB",1)</f>
        <v>=DISPIMG("ID_CD4985B1685A456FA90E6AB225F219DB",1)</v>
      </c>
      <c r="G49" s="128"/>
    </row>
    <row r="50" s="117" customFormat="1" ht="46.9" customHeight="1" spans="1:7">
      <c r="A50" s="133">
        <v>3</v>
      </c>
      <c r="B50" s="142" t="s">
        <v>569</v>
      </c>
      <c r="C50" s="141" t="s">
        <v>570</v>
      </c>
      <c r="D50" s="142">
        <v>6</v>
      </c>
      <c r="E50" s="127" t="s">
        <v>10</v>
      </c>
      <c r="F50" s="128" t="str">
        <f>_xlfn.DISPIMG("ID_DA7F92489DA34AB4AB8E3E5FB5B481DA",1)</f>
        <v>=DISPIMG("ID_DA7F92489DA34AB4AB8E3E5FB5B481DA",1)</v>
      </c>
      <c r="G50" s="128"/>
    </row>
    <row r="51" s="117" customFormat="1" ht="18" customHeight="1" spans="1:7">
      <c r="A51" s="124" t="s">
        <v>571</v>
      </c>
      <c r="B51" s="125"/>
      <c r="C51" s="126"/>
      <c r="D51" s="142"/>
      <c r="E51" s="142"/>
      <c r="F51" s="128"/>
      <c r="G51" s="128"/>
    </row>
    <row r="52" s="117" customFormat="1" customHeight="1" spans="1:7">
      <c r="A52" s="133">
        <v>1</v>
      </c>
      <c r="B52" s="127" t="s">
        <v>572</v>
      </c>
      <c r="C52" s="132" t="s">
        <v>573</v>
      </c>
      <c r="D52" s="142">
        <v>12</v>
      </c>
      <c r="E52" s="127" t="s">
        <v>10</v>
      </c>
      <c r="F52" s="128" t="str">
        <f>_xlfn.DISPIMG("ID_09357AD11203492AB3BB11329E3EA3F9",1)</f>
        <v>=DISPIMG("ID_09357AD11203492AB3BB11329E3EA3F9",1)</v>
      </c>
      <c r="G52" s="130"/>
    </row>
    <row r="53" s="117" customFormat="1" customHeight="1" spans="1:7">
      <c r="A53" s="133">
        <v>2</v>
      </c>
      <c r="B53" s="127" t="s">
        <v>574</v>
      </c>
      <c r="C53" s="132" t="s">
        <v>575</v>
      </c>
      <c r="D53" s="142">
        <v>12</v>
      </c>
      <c r="E53" s="127" t="s">
        <v>16</v>
      </c>
      <c r="F53" s="128" t="str">
        <f>_xlfn.DISPIMG("ID_D59B33435A254943B8E6CDAA19BA816E",1)</f>
        <v>=DISPIMG("ID_D59B33435A254943B8E6CDAA19BA816E",1)</v>
      </c>
      <c r="G53" s="128"/>
    </row>
    <row r="54" s="117" customFormat="1" customHeight="1" spans="1:7">
      <c r="A54" s="133">
        <v>3</v>
      </c>
      <c r="B54" s="127" t="s">
        <v>576</v>
      </c>
      <c r="C54" s="132" t="s">
        <v>577</v>
      </c>
      <c r="D54" s="127">
        <v>6</v>
      </c>
      <c r="E54" s="127" t="s">
        <v>13</v>
      </c>
      <c r="F54" s="128" t="str">
        <f>_xlfn.DISPIMG("ID_BB659B53B88E4CEEBED012E842FBD67E",1)</f>
        <v>=DISPIMG("ID_BB659B53B88E4CEEBED012E842FBD67E",1)</v>
      </c>
      <c r="G54" s="128"/>
    </row>
    <row r="55" s="117" customFormat="1" customHeight="1" spans="1:7">
      <c r="A55" s="133">
        <v>4</v>
      </c>
      <c r="B55" s="127" t="s">
        <v>578</v>
      </c>
      <c r="C55" s="132" t="s">
        <v>579</v>
      </c>
      <c r="D55" s="127">
        <v>12</v>
      </c>
      <c r="E55" s="127" t="s">
        <v>13</v>
      </c>
      <c r="F55" s="128" t="str">
        <f>_xlfn.DISPIMG("ID_083B4061406F4C16B271BB19F689E4BD",1)</f>
        <v>=DISPIMG("ID_083B4061406F4C16B271BB19F689E4BD",1)</v>
      </c>
      <c r="G55" s="128"/>
    </row>
    <row r="56" s="117" customFormat="1" customHeight="1" spans="1:7">
      <c r="A56" s="133">
        <v>5</v>
      </c>
      <c r="B56" s="127" t="s">
        <v>580</v>
      </c>
      <c r="C56" s="132" t="s">
        <v>581</v>
      </c>
      <c r="D56" s="127">
        <v>1</v>
      </c>
      <c r="E56" s="127" t="s">
        <v>13</v>
      </c>
      <c r="F56" s="128" t="str">
        <f>_xlfn.DISPIMG("ID_E7895E3DE29F4F1199FFE2408675A7F4",1)</f>
        <v>=DISPIMG("ID_E7895E3DE29F4F1199FFE2408675A7F4",1)</v>
      </c>
      <c r="G56" s="128"/>
    </row>
    <row r="57" s="117" customFormat="1" customHeight="1" spans="1:7">
      <c r="A57" s="133">
        <v>6</v>
      </c>
      <c r="B57" s="127" t="s">
        <v>582</v>
      </c>
      <c r="C57" s="132" t="s">
        <v>583</v>
      </c>
      <c r="D57" s="127">
        <v>1</v>
      </c>
      <c r="E57" s="127" t="s">
        <v>13</v>
      </c>
      <c r="F57" s="128" t="str">
        <f>_xlfn.DISPIMG("ID_DC178017B03B4F91852DE8E914C61C0A",1)</f>
        <v>=DISPIMG("ID_DC178017B03B4F91852DE8E914C61C0A",1)</v>
      </c>
      <c r="G57" s="128"/>
    </row>
    <row r="58" s="117" customFormat="1" customHeight="1" spans="1:7">
      <c r="A58" s="133">
        <v>7</v>
      </c>
      <c r="B58" s="127" t="s">
        <v>584</v>
      </c>
      <c r="C58" s="132" t="s">
        <v>585</v>
      </c>
      <c r="D58" s="127">
        <v>1</v>
      </c>
      <c r="E58" s="127" t="s">
        <v>13</v>
      </c>
      <c r="F58" s="128" t="str">
        <f>_xlfn.DISPIMG("ID_84A037EF44D04F98A2A88D01FEFAB064",1)</f>
        <v>=DISPIMG("ID_84A037EF44D04F98A2A88D01FEFAB064",1)</v>
      </c>
      <c r="G58" s="128"/>
    </row>
    <row r="59" s="117" customFormat="1" customHeight="1" spans="1:7">
      <c r="A59" s="133">
        <v>8</v>
      </c>
      <c r="B59" s="127" t="s">
        <v>586</v>
      </c>
      <c r="C59" s="132" t="s">
        <v>587</v>
      </c>
      <c r="D59" s="127">
        <v>1</v>
      </c>
      <c r="E59" s="127" t="s">
        <v>13</v>
      </c>
      <c r="F59" s="128" t="str">
        <f>_xlfn.DISPIMG("ID_CAC89DBBB64B48E2A57BB2C4B90D4334",1)</f>
        <v>=DISPIMG("ID_CAC89DBBB64B48E2A57BB2C4B90D4334",1)</v>
      </c>
      <c r="G59" s="128"/>
    </row>
    <row r="60" s="117" customFormat="1" customHeight="1" spans="1:7">
      <c r="A60" s="133">
        <v>9</v>
      </c>
      <c r="B60" s="127" t="s">
        <v>588</v>
      </c>
      <c r="C60" s="132" t="s">
        <v>589</v>
      </c>
      <c r="D60" s="127">
        <v>1</v>
      </c>
      <c r="E60" s="127" t="s">
        <v>13</v>
      </c>
      <c r="F60" s="128" t="str">
        <f>_xlfn.DISPIMG("ID_8407E40EF5444C36B1A243FC88AADA52",1)</f>
        <v>=DISPIMG("ID_8407E40EF5444C36B1A243FC88AADA52",1)</v>
      </c>
      <c r="G60" s="128"/>
    </row>
    <row r="61" s="117" customFormat="1" customHeight="1" spans="1:7">
      <c r="A61" s="133">
        <v>10</v>
      </c>
      <c r="B61" s="127" t="s">
        <v>590</v>
      </c>
      <c r="C61" s="132" t="s">
        <v>591</v>
      </c>
      <c r="D61" s="142">
        <v>1</v>
      </c>
      <c r="E61" s="127" t="s">
        <v>13</v>
      </c>
      <c r="F61" s="128" t="str">
        <f>_xlfn.DISPIMG("ID_0112225A6C5842439126270A71D27EF8",1)</f>
        <v>=DISPIMG("ID_0112225A6C5842439126270A71D27EF8",1)</v>
      </c>
      <c r="G61" s="128"/>
    </row>
    <row r="62" s="117" customFormat="1" ht="21" customHeight="1" spans="1:7">
      <c r="A62" s="133">
        <v>11</v>
      </c>
      <c r="B62" s="127" t="s">
        <v>592</v>
      </c>
      <c r="C62" s="132" t="s">
        <v>593</v>
      </c>
      <c r="D62" s="142">
        <v>12</v>
      </c>
      <c r="E62" s="142" t="s">
        <v>10</v>
      </c>
      <c r="F62" s="128"/>
      <c r="G62" s="128"/>
    </row>
    <row r="63" s="117" customFormat="1" ht="19.5" customHeight="1" spans="1:7">
      <c r="A63" s="124" t="s">
        <v>594</v>
      </c>
      <c r="B63" s="125"/>
      <c r="C63" s="126"/>
      <c r="D63" s="142"/>
      <c r="E63" s="142"/>
      <c r="F63" s="128"/>
      <c r="G63" s="128"/>
    </row>
    <row r="64" s="117" customFormat="1" customHeight="1" spans="1:7">
      <c r="A64" s="127">
        <v>1</v>
      </c>
      <c r="B64" s="142" t="s">
        <v>595</v>
      </c>
      <c r="C64" s="132" t="s">
        <v>596</v>
      </c>
      <c r="D64" s="142">
        <v>12</v>
      </c>
      <c r="E64" s="127" t="s">
        <v>13</v>
      </c>
      <c r="F64" s="128" t="str">
        <f>_xlfn.DISPIMG("ID_58B4E0AE446F4791BDAC58F1D49A0911",1)</f>
        <v>=DISPIMG("ID_58B4E0AE446F4791BDAC58F1D49A0911",1)</v>
      </c>
      <c r="G64" s="128"/>
    </row>
    <row r="65" s="117" customFormat="1" customHeight="1" spans="1:7">
      <c r="A65" s="127">
        <v>2</v>
      </c>
      <c r="B65" s="142" t="s">
        <v>597</v>
      </c>
      <c r="C65" s="132" t="s">
        <v>598</v>
      </c>
      <c r="D65" s="142">
        <v>12</v>
      </c>
      <c r="E65" s="127" t="s">
        <v>13</v>
      </c>
      <c r="F65" s="128" t="str">
        <f>_xlfn.DISPIMG("ID_B1A7A10FBE9B46F0ADC284B7E426C995",1)</f>
        <v>=DISPIMG("ID_B1A7A10FBE9B46F0ADC284B7E426C995",1)</v>
      </c>
      <c r="G65" s="128"/>
    </row>
    <row r="66" s="117" customFormat="1" customHeight="1" spans="1:7">
      <c r="A66" s="127">
        <v>3</v>
      </c>
      <c r="B66" s="142" t="s">
        <v>599</v>
      </c>
      <c r="C66" s="132" t="s">
        <v>600</v>
      </c>
      <c r="D66" s="142">
        <v>12</v>
      </c>
      <c r="E66" s="127" t="s">
        <v>13</v>
      </c>
      <c r="F66" s="128" t="str">
        <f>_xlfn.DISPIMG("ID_B906D5C45CC14698B715168549B8C558",1)</f>
        <v>=DISPIMG("ID_B906D5C45CC14698B715168549B8C558",1)</v>
      </c>
      <c r="G66" s="128"/>
    </row>
    <row r="67" s="117" customFormat="1" customHeight="1" spans="1:7">
      <c r="A67" s="127">
        <v>4</v>
      </c>
      <c r="B67" s="142" t="s">
        <v>601</v>
      </c>
      <c r="C67" s="132" t="s">
        <v>602</v>
      </c>
      <c r="D67" s="142">
        <v>12</v>
      </c>
      <c r="E67" s="127" t="s">
        <v>13</v>
      </c>
      <c r="F67" s="128" t="str">
        <f>_xlfn.DISPIMG("ID_3A4152E2D4F141D6931BE2B64A39ECC8",1)</f>
        <v>=DISPIMG("ID_3A4152E2D4F141D6931BE2B64A39ECC8",1)</v>
      </c>
      <c r="G67" s="128"/>
    </row>
    <row r="68" s="117" customFormat="1" customHeight="1" spans="1:7">
      <c r="A68" s="127">
        <v>5</v>
      </c>
      <c r="B68" s="142" t="s">
        <v>603</v>
      </c>
      <c r="C68" s="132" t="s">
        <v>604</v>
      </c>
      <c r="D68" s="142">
        <v>12</v>
      </c>
      <c r="E68" s="127" t="s">
        <v>10</v>
      </c>
      <c r="F68" s="128" t="str">
        <f>_xlfn.DISPIMG("ID_4797000DD6114FAF93E0EE65890E5DE9",1)</f>
        <v>=DISPIMG("ID_4797000DD6114FAF93E0EE65890E5DE9",1)</v>
      </c>
      <c r="G68" s="128"/>
    </row>
    <row r="69" s="117" customFormat="1" customHeight="1" spans="1:7">
      <c r="A69" s="127">
        <v>6</v>
      </c>
      <c r="B69" s="142" t="s">
        <v>605</v>
      </c>
      <c r="C69" s="132" t="s">
        <v>606</v>
      </c>
      <c r="D69" s="142">
        <v>12</v>
      </c>
      <c r="E69" s="127" t="s">
        <v>10</v>
      </c>
      <c r="F69" s="128" t="str">
        <f>_xlfn.DISPIMG("ID_912DBD7FC5A5421386B7BCFE30A83103",1)</f>
        <v>=DISPIMG("ID_912DBD7FC5A5421386B7BCFE30A83103",1)</v>
      </c>
      <c r="G69" s="128"/>
    </row>
    <row r="70" s="117" customFormat="1" ht="18" customHeight="1" spans="1:7">
      <c r="A70" s="124" t="s">
        <v>607</v>
      </c>
      <c r="B70" s="125"/>
      <c r="C70" s="126"/>
      <c r="D70" s="142"/>
      <c r="E70" s="142"/>
      <c r="F70" s="128"/>
      <c r="G70" s="128"/>
    </row>
    <row r="71" s="117" customFormat="1" customHeight="1" spans="1:7">
      <c r="A71" s="127">
        <v>1</v>
      </c>
      <c r="B71" s="142" t="s">
        <v>608</v>
      </c>
      <c r="C71" s="132" t="s">
        <v>609</v>
      </c>
      <c r="D71" s="142">
        <v>6</v>
      </c>
      <c r="E71" s="127" t="s">
        <v>13</v>
      </c>
      <c r="F71" s="128" t="str">
        <f>_xlfn.DISPIMG("ID_87DE9AC525674D49B1AFEC39898A8790",1)</f>
        <v>=DISPIMG("ID_87DE9AC525674D49B1AFEC39898A8790",1)</v>
      </c>
      <c r="G71" s="128"/>
    </row>
    <row r="72" s="117" customFormat="1" ht="17.25" customHeight="1" spans="1:7">
      <c r="A72" s="127">
        <v>2</v>
      </c>
      <c r="B72" s="142" t="s">
        <v>610</v>
      </c>
      <c r="C72" s="132" t="s">
        <v>611</v>
      </c>
      <c r="D72" s="142">
        <v>6</v>
      </c>
      <c r="E72" s="127" t="s">
        <v>16</v>
      </c>
      <c r="F72" s="144" t="str">
        <f>_xlfn.DISPIMG("ID_DA030C0B035540C4AA65036CDCD5E1C8",1)</f>
        <v>=DISPIMG("ID_DA030C0B035540C4AA65036CDCD5E1C8",1)</v>
      </c>
      <c r="G72" s="128"/>
    </row>
    <row r="73" s="117" customFormat="1" ht="17.25" customHeight="1" spans="1:7">
      <c r="A73" s="127">
        <v>3</v>
      </c>
      <c r="B73" s="142" t="s">
        <v>612</v>
      </c>
      <c r="C73" s="132" t="s">
        <v>613</v>
      </c>
      <c r="D73" s="142">
        <v>6</v>
      </c>
      <c r="E73" s="142" t="s">
        <v>58</v>
      </c>
      <c r="F73" s="145"/>
      <c r="G73" s="128"/>
    </row>
    <row r="74" s="117" customFormat="1" ht="17.25" customHeight="1" spans="1:7">
      <c r="A74" s="127">
        <v>4</v>
      </c>
      <c r="B74" s="142" t="s">
        <v>614</v>
      </c>
      <c r="C74" s="132" t="s">
        <v>615</v>
      </c>
      <c r="D74" s="142">
        <v>6</v>
      </c>
      <c r="E74" s="142" t="s">
        <v>58</v>
      </c>
      <c r="F74" s="145"/>
      <c r="G74" s="128"/>
    </row>
    <row r="75" s="117" customFormat="1" ht="17.25" customHeight="1" spans="1:7">
      <c r="A75" s="127">
        <v>5</v>
      </c>
      <c r="B75" s="142" t="s">
        <v>616</v>
      </c>
      <c r="C75" s="132" t="s">
        <v>617</v>
      </c>
      <c r="D75" s="142">
        <v>6</v>
      </c>
      <c r="E75" s="142" t="s">
        <v>58</v>
      </c>
      <c r="F75" s="145"/>
      <c r="G75" s="128"/>
    </row>
    <row r="76" s="117" customFormat="1" ht="17.25" customHeight="1" spans="1:7">
      <c r="A76" s="127">
        <v>6</v>
      </c>
      <c r="B76" s="142" t="s">
        <v>618</v>
      </c>
      <c r="C76" s="141" t="s">
        <v>619</v>
      </c>
      <c r="D76" s="142">
        <v>6</v>
      </c>
      <c r="E76" s="142" t="s">
        <v>58</v>
      </c>
      <c r="F76" s="145"/>
      <c r="G76" s="128"/>
    </row>
    <row r="77" s="117" customFormat="1" ht="17.25" customHeight="1" spans="1:7">
      <c r="A77" s="127">
        <v>7</v>
      </c>
      <c r="B77" s="142" t="s">
        <v>620</v>
      </c>
      <c r="C77" s="141" t="s">
        <v>621</v>
      </c>
      <c r="D77" s="142">
        <v>6</v>
      </c>
      <c r="E77" s="142" t="s">
        <v>622</v>
      </c>
      <c r="F77" s="146"/>
      <c r="G77" s="128"/>
    </row>
    <row r="78" s="117" customFormat="1" ht="17.25" customHeight="1" spans="1:7">
      <c r="A78" s="127">
        <v>8</v>
      </c>
      <c r="B78" s="142" t="s">
        <v>623</v>
      </c>
      <c r="C78" s="141" t="s">
        <v>624</v>
      </c>
      <c r="D78" s="142">
        <v>6</v>
      </c>
      <c r="E78" s="142" t="s">
        <v>58</v>
      </c>
      <c r="F78" s="144" t="str">
        <f>_xlfn.DISPIMG("ID_505C31E3D92A4C5FBCE35A07D1C27E9B",1)</f>
        <v>=DISPIMG("ID_505C31E3D92A4C5FBCE35A07D1C27E9B",1)</v>
      </c>
      <c r="G78" s="128"/>
    </row>
    <row r="79" s="117" customFormat="1" ht="17.25" customHeight="1" spans="1:7">
      <c r="A79" s="127">
        <v>9</v>
      </c>
      <c r="B79" s="142" t="s">
        <v>625</v>
      </c>
      <c r="C79" s="141" t="s">
        <v>626</v>
      </c>
      <c r="D79" s="142">
        <v>6</v>
      </c>
      <c r="E79" s="142" t="s">
        <v>16</v>
      </c>
      <c r="F79" s="145"/>
      <c r="G79" s="128"/>
    </row>
    <row r="80" s="117" customFormat="1" ht="17.25" customHeight="1" spans="1:7">
      <c r="A80" s="127">
        <v>10</v>
      </c>
      <c r="B80" s="142" t="s">
        <v>627</v>
      </c>
      <c r="C80" s="132" t="s">
        <v>628</v>
      </c>
      <c r="D80" s="142">
        <v>6</v>
      </c>
      <c r="E80" s="127" t="s">
        <v>10</v>
      </c>
      <c r="F80" s="145"/>
      <c r="G80" s="128"/>
    </row>
    <row r="81" s="117" customFormat="1" ht="17.25" customHeight="1" spans="1:7">
      <c r="A81" s="127">
        <v>11</v>
      </c>
      <c r="B81" s="142" t="s">
        <v>629</v>
      </c>
      <c r="C81" s="132" t="s">
        <v>630</v>
      </c>
      <c r="D81" s="142">
        <v>6</v>
      </c>
      <c r="E81" s="142" t="s">
        <v>58</v>
      </c>
      <c r="F81" s="145"/>
      <c r="G81" s="128"/>
    </row>
    <row r="82" s="115" customFormat="1" ht="17.25" customHeight="1" spans="1:7">
      <c r="A82" s="127">
        <v>12</v>
      </c>
      <c r="B82" s="142" t="s">
        <v>631</v>
      </c>
      <c r="C82" s="132" t="s">
        <v>632</v>
      </c>
      <c r="D82" s="142">
        <v>6</v>
      </c>
      <c r="E82" s="142" t="s">
        <v>16</v>
      </c>
      <c r="F82" s="146"/>
      <c r="G82" s="128"/>
    </row>
    <row r="83" s="117" customFormat="1" ht="16.5" customHeight="1" spans="1:7">
      <c r="A83" s="147" t="s">
        <v>633</v>
      </c>
      <c r="B83" s="148"/>
      <c r="C83" s="149"/>
      <c r="D83" s="142"/>
      <c r="E83" s="142"/>
      <c r="F83" s="128"/>
      <c r="G83" s="128"/>
    </row>
    <row r="84" s="117" customFormat="1" ht="40" customHeight="1" spans="1:7">
      <c r="A84" s="127">
        <v>1</v>
      </c>
      <c r="B84" s="142" t="s">
        <v>634</v>
      </c>
      <c r="C84" s="132" t="s">
        <v>635</v>
      </c>
      <c r="D84" s="142">
        <v>12</v>
      </c>
      <c r="E84" s="127" t="s">
        <v>10</v>
      </c>
      <c r="F84" s="128" t="str">
        <f>_xlfn.DISPIMG("ID_18DB81AD84E645539FDF42E5EA7D3577",1)</f>
        <v>=DISPIMG("ID_18DB81AD84E645539FDF42E5EA7D3577",1)</v>
      </c>
      <c r="G84" s="128"/>
    </row>
    <row r="85" s="117" customFormat="1" ht="42" customHeight="1" spans="1:7">
      <c r="A85" s="127">
        <v>2</v>
      </c>
      <c r="B85" s="127" t="s">
        <v>636</v>
      </c>
      <c r="C85" s="132" t="s">
        <v>637</v>
      </c>
      <c r="D85" s="142">
        <v>12</v>
      </c>
      <c r="E85" s="127" t="s">
        <v>10</v>
      </c>
      <c r="F85" s="128" t="str">
        <f>_xlfn.DISPIMG("ID_4159C6E67CFE457A86B1C0ED017F8542",1)</f>
        <v>=DISPIMG("ID_4159C6E67CFE457A86B1C0ED017F8542",1)</v>
      </c>
      <c r="G85" s="128"/>
    </row>
    <row r="86" s="117" customFormat="1" ht="55.9" customHeight="1" spans="1:7">
      <c r="A86" s="127">
        <v>3</v>
      </c>
      <c r="B86" s="127" t="s">
        <v>638</v>
      </c>
      <c r="C86" s="132" t="s">
        <v>639</v>
      </c>
      <c r="D86" s="142">
        <v>12</v>
      </c>
      <c r="E86" s="127" t="s">
        <v>10</v>
      </c>
      <c r="F86" s="128"/>
      <c r="G86" s="128"/>
    </row>
    <row r="87" s="117" customFormat="1" ht="82" customHeight="1" spans="1:7">
      <c r="A87" s="127">
        <v>4</v>
      </c>
      <c r="B87" s="127" t="s">
        <v>640</v>
      </c>
      <c r="C87" s="132" t="s">
        <v>641</v>
      </c>
      <c r="D87" s="142">
        <v>12</v>
      </c>
      <c r="E87" s="127" t="s">
        <v>10</v>
      </c>
      <c r="F87" s="128" t="str">
        <f>_xlfn.DISPIMG("ID_B0BD7486E99843F6B0CC059B95FC04DC",1)</f>
        <v>=DISPIMG("ID_B0BD7486E99843F6B0CC059B95FC04DC",1)</v>
      </c>
      <c r="G87" s="128"/>
    </row>
    <row r="88" s="115" customFormat="1" ht="37" customHeight="1" spans="1:7">
      <c r="A88" s="127">
        <v>5</v>
      </c>
      <c r="B88" s="127" t="s">
        <v>642</v>
      </c>
      <c r="C88" s="132" t="s">
        <v>643</v>
      </c>
      <c r="D88" s="142">
        <v>12</v>
      </c>
      <c r="E88" s="127" t="s">
        <v>10</v>
      </c>
      <c r="F88" s="128" t="str">
        <f>_xlfn.DISPIMG("ID_BE022E259C0D40EDB46F99C58EC56834",1)</f>
        <v>=DISPIMG("ID_BE022E259C0D40EDB46F99C58EC56834",1)</v>
      </c>
      <c r="G88" s="128"/>
    </row>
    <row r="89" s="115" customFormat="1" ht="55.9" customHeight="1" spans="1:7">
      <c r="A89" s="127">
        <v>6</v>
      </c>
      <c r="B89" s="127" t="s">
        <v>644</v>
      </c>
      <c r="C89" s="132" t="s">
        <v>645</v>
      </c>
      <c r="D89" s="142">
        <v>12</v>
      </c>
      <c r="E89" s="127" t="s">
        <v>10</v>
      </c>
      <c r="F89" s="128"/>
      <c r="G89" s="128"/>
    </row>
    <row r="90" s="115" customFormat="1" ht="42" customHeight="1" spans="1:7">
      <c r="A90" s="127">
        <v>7</v>
      </c>
      <c r="B90" s="127" t="s">
        <v>646</v>
      </c>
      <c r="C90" s="132" t="s">
        <v>647</v>
      </c>
      <c r="D90" s="142">
        <v>12</v>
      </c>
      <c r="E90" s="127" t="s">
        <v>10</v>
      </c>
      <c r="F90" s="128" t="str">
        <f>_xlfn.DISPIMG("ID_EF19A13AEA304A25A87EBDB89DB2CBA9",1)</f>
        <v>=DISPIMG("ID_EF19A13AEA304A25A87EBDB89DB2CBA9",1)</v>
      </c>
      <c r="G90" s="128"/>
    </row>
    <row r="91" s="117" customFormat="1" ht="21" customHeight="1" spans="1:7">
      <c r="A91" s="124" t="s">
        <v>648</v>
      </c>
      <c r="B91" s="125"/>
      <c r="C91" s="126"/>
      <c r="D91" s="142"/>
      <c r="E91" s="142"/>
      <c r="F91" s="128"/>
      <c r="G91" s="128"/>
    </row>
    <row r="92" s="117" customFormat="1" ht="19.5" customHeight="1" spans="1:7">
      <c r="A92" s="127">
        <v>1</v>
      </c>
      <c r="B92" s="142" t="s">
        <v>649</v>
      </c>
      <c r="C92" s="141" t="s">
        <v>650</v>
      </c>
      <c r="D92" s="142">
        <v>12</v>
      </c>
      <c r="E92" s="133" t="s">
        <v>10</v>
      </c>
      <c r="F92" s="128"/>
      <c r="G92" s="128"/>
    </row>
    <row r="93" s="117" customFormat="1" ht="52.15" customHeight="1" spans="1:7">
      <c r="A93" s="127">
        <v>2</v>
      </c>
      <c r="B93" s="127" t="s">
        <v>648</v>
      </c>
      <c r="C93" s="150" t="s">
        <v>651</v>
      </c>
      <c r="D93" s="142">
        <v>1</v>
      </c>
      <c r="E93" s="133" t="s">
        <v>10</v>
      </c>
      <c r="F93" s="128" t="str">
        <f>_xlfn.DISPIMG("ID_97F40848BF80405E82D40081980374DB",1)</f>
        <v>=DISPIMG("ID_97F40848BF80405E82D40081980374DB",1)</v>
      </c>
      <c r="G93" s="128"/>
    </row>
    <row r="94" s="117" customFormat="1" ht="40" customHeight="1" spans="1:7">
      <c r="A94" s="127">
        <v>3</v>
      </c>
      <c r="B94" s="142" t="s">
        <v>652</v>
      </c>
      <c r="C94" s="132" t="s">
        <v>653</v>
      </c>
      <c r="D94" s="142">
        <v>1</v>
      </c>
      <c r="E94" s="133" t="s">
        <v>10</v>
      </c>
      <c r="F94" s="128" t="str">
        <f>_xlfn.DISPIMG("ID_6E1EB61C861C4E71889550803A267D3E",1)</f>
        <v>=DISPIMG("ID_6E1EB61C861C4E71889550803A267D3E",1)</v>
      </c>
      <c r="G94" s="128"/>
    </row>
    <row r="95" s="117" customFormat="1" ht="31" customHeight="1" spans="1:7">
      <c r="A95" s="127">
        <v>4</v>
      </c>
      <c r="B95" s="127" t="s">
        <v>654</v>
      </c>
      <c r="C95" s="151" t="s">
        <v>655</v>
      </c>
      <c r="D95" s="142">
        <v>1</v>
      </c>
      <c r="E95" s="133" t="s">
        <v>10</v>
      </c>
      <c r="F95" s="128" t="str">
        <f>_xlfn.DISPIMG("ID_8FB86FF89084471FB87AD905ACED1F1F",1)</f>
        <v>=DISPIMG("ID_8FB86FF89084471FB87AD905ACED1F1F",1)</v>
      </c>
      <c r="G95" s="128"/>
    </row>
    <row r="96" s="117" customFormat="1" ht="18" customHeight="1" spans="1:7">
      <c r="A96" s="127">
        <v>5</v>
      </c>
      <c r="B96" s="127" t="s">
        <v>656</v>
      </c>
      <c r="C96" s="151"/>
      <c r="D96" s="142">
        <v>10</v>
      </c>
      <c r="E96" s="133" t="s">
        <v>328</v>
      </c>
      <c r="F96" s="128"/>
      <c r="G96" s="128"/>
    </row>
    <row r="97" s="117" customFormat="1" ht="28.5" spans="1:7">
      <c r="A97" s="133">
        <v>6</v>
      </c>
      <c r="B97" s="127" t="s">
        <v>657</v>
      </c>
      <c r="C97" s="132" t="s">
        <v>658</v>
      </c>
      <c r="D97" s="142">
        <v>45</v>
      </c>
      <c r="E97" s="142" t="s">
        <v>10</v>
      </c>
      <c r="F97" s="128"/>
      <c r="G97" s="128"/>
    </row>
    <row r="98" s="117" customFormat="1" ht="25" customHeight="1" spans="1:7">
      <c r="A98" s="133">
        <v>7</v>
      </c>
      <c r="B98" s="136" t="s">
        <v>659</v>
      </c>
      <c r="C98" s="114" t="s">
        <v>215</v>
      </c>
      <c r="D98" s="73">
        <v>8</v>
      </c>
      <c r="E98" s="73" t="s">
        <v>16</v>
      </c>
      <c r="F98" s="128"/>
      <c r="G98" s="128"/>
    </row>
    <row r="99" s="115" customFormat="1" ht="16.5" spans="1:3">
      <c r="A99" s="152"/>
      <c r="B99" s="152"/>
      <c r="C99" s="119"/>
    </row>
    <row r="100" s="115" customFormat="1" ht="27" customHeight="1" spans="1:3">
      <c r="A100" s="117"/>
      <c r="B100" s="118"/>
      <c r="C100" s="153"/>
    </row>
  </sheetData>
  <mergeCells count="14">
    <mergeCell ref="A1:G1"/>
    <mergeCell ref="A3:C3"/>
    <mergeCell ref="A14:C14"/>
    <mergeCell ref="A28:C28"/>
    <mergeCell ref="A34:C34"/>
    <mergeCell ref="A47:C47"/>
    <mergeCell ref="A51:C51"/>
    <mergeCell ref="A63:C63"/>
    <mergeCell ref="A70:C70"/>
    <mergeCell ref="A83:C83"/>
    <mergeCell ref="A91:C91"/>
    <mergeCell ref="A99:B99"/>
    <mergeCell ref="F72:F77"/>
    <mergeCell ref="F78:F82"/>
  </mergeCells>
  <pageMargins left="0.75" right="0.75" top="1" bottom="1" header="0.5" footer="0.5"/>
  <pageSetup paperSize="9" scale="7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zoomScale="85" zoomScaleNormal="85" topLeftCell="A52" workbookViewId="0">
      <selection activeCell="A31" sqref="$A31:$XFD31"/>
    </sheetView>
  </sheetViews>
  <sheetFormatPr defaultColWidth="9" defaultRowHeight="16.5" outlineLevelCol="7"/>
  <cols>
    <col min="1" max="1" width="5.5" style="97" customWidth="1"/>
    <col min="2" max="2" width="9.38333333333333" style="97" customWidth="1"/>
    <col min="3" max="3" width="97.6416666666667" style="97" customWidth="1"/>
    <col min="4" max="5" width="5.5" style="97" customWidth="1"/>
    <col min="6" max="6" width="18" style="97" customWidth="1"/>
    <col min="7" max="7" width="10.25" style="97" customWidth="1"/>
    <col min="8" max="8" width="11.1333333333333" style="97" customWidth="1"/>
    <col min="9" max="16384" width="9" style="97"/>
  </cols>
  <sheetData>
    <row r="1" s="97" customFormat="1" ht="25" customHeight="1" spans="1:7">
      <c r="A1" s="98" t="s">
        <v>660</v>
      </c>
      <c r="B1" s="99"/>
      <c r="C1" s="99"/>
      <c r="D1" s="99"/>
      <c r="E1" s="99"/>
      <c r="F1" s="99"/>
      <c r="G1" s="99"/>
    </row>
    <row r="2" s="97" customFormat="1" ht="23" customHeight="1" spans="1:7">
      <c r="A2" s="100" t="s">
        <v>1</v>
      </c>
      <c r="B2" s="100" t="s">
        <v>2</v>
      </c>
      <c r="C2" s="100" t="s">
        <v>3</v>
      </c>
      <c r="D2" s="100" t="s">
        <v>4</v>
      </c>
      <c r="E2" s="100" t="s">
        <v>5</v>
      </c>
      <c r="F2" s="100" t="s">
        <v>6</v>
      </c>
      <c r="G2" s="100" t="s">
        <v>7</v>
      </c>
    </row>
    <row r="3" s="97" customFormat="1" spans="1:7">
      <c r="A3" s="101">
        <v>1</v>
      </c>
      <c r="B3" s="101" t="s">
        <v>8</v>
      </c>
      <c r="C3" s="102" t="s">
        <v>9</v>
      </c>
      <c r="D3" s="76">
        <v>1</v>
      </c>
      <c r="E3" s="76" t="s">
        <v>10</v>
      </c>
      <c r="F3" s="101"/>
      <c r="G3" s="101"/>
    </row>
    <row r="4" s="97" customFormat="1" ht="63" customHeight="1" spans="1:7">
      <c r="A4" s="101">
        <v>2</v>
      </c>
      <c r="B4" s="101" t="s">
        <v>661</v>
      </c>
      <c r="C4" s="103" t="s">
        <v>662</v>
      </c>
      <c r="D4" s="104">
        <v>1</v>
      </c>
      <c r="E4" s="104" t="s">
        <v>10</v>
      </c>
      <c r="F4" s="101" t="str">
        <f>_xlfn.DISPIMG("ID_715E45D9D49E40E89CB77725AAB64668",1)</f>
        <v>=DISPIMG("ID_715E45D9D49E40E89CB77725AAB64668",1)</v>
      </c>
      <c r="G4" s="101"/>
    </row>
    <row r="5" s="97" customFormat="1" ht="76.9" customHeight="1" spans="1:7">
      <c r="A5" s="101">
        <v>3</v>
      </c>
      <c r="B5" s="101" t="s">
        <v>663</v>
      </c>
      <c r="C5" s="105" t="s">
        <v>664</v>
      </c>
      <c r="D5" s="101">
        <v>1</v>
      </c>
      <c r="E5" s="101" t="s">
        <v>71</v>
      </c>
      <c r="F5" s="101" t="str">
        <f>_xlfn.DISPIMG("ID_6F4AF2E1894848FEBBA78A4C42939751",1)</f>
        <v>=DISPIMG("ID_6F4AF2E1894848FEBBA78A4C42939751",1)</v>
      </c>
      <c r="G5" s="101"/>
    </row>
    <row r="6" s="97" customFormat="1" ht="69" customHeight="1" spans="1:7">
      <c r="A6" s="101">
        <v>4</v>
      </c>
      <c r="B6" s="101" t="s">
        <v>665</v>
      </c>
      <c r="C6" s="105" t="s">
        <v>666</v>
      </c>
      <c r="D6" s="101">
        <v>1</v>
      </c>
      <c r="E6" s="101" t="s">
        <v>71</v>
      </c>
      <c r="F6" s="101" t="str">
        <f>_xlfn.DISPIMG("ID_082594C1F6624DBBA48E7504EE9B89E8",1)</f>
        <v>=DISPIMG("ID_082594C1F6624DBBA48E7504EE9B89E8",1)</v>
      </c>
      <c r="G6" s="101"/>
    </row>
    <row r="7" s="97" customFormat="1" ht="225" customHeight="1" spans="1:8">
      <c r="A7" s="106">
        <v>5</v>
      </c>
      <c r="B7" s="106" t="s">
        <v>667</v>
      </c>
      <c r="C7" s="107" t="s">
        <v>668</v>
      </c>
      <c r="D7" s="106">
        <v>45</v>
      </c>
      <c r="E7" s="106" t="s">
        <v>71</v>
      </c>
      <c r="F7" s="108" t="str">
        <f>_xlfn.DISPIMG("ID_AA0EAD81254745E68F357655636B8AD6",1)</f>
        <v>=DISPIMG("ID_AA0EAD81254745E68F357655636B8AD6",1)</v>
      </c>
      <c r="G7" s="106"/>
      <c r="H7" s="109"/>
    </row>
    <row r="8" s="97" customFormat="1" ht="172" customHeight="1" spans="1:8">
      <c r="A8" s="106">
        <v>6</v>
      </c>
      <c r="B8" s="106" t="s">
        <v>669</v>
      </c>
      <c r="C8" s="107" t="s">
        <v>670</v>
      </c>
      <c r="D8" s="106">
        <v>45</v>
      </c>
      <c r="E8" s="106" t="s">
        <v>71</v>
      </c>
      <c r="F8" s="110"/>
      <c r="G8" s="106"/>
      <c r="H8" s="109"/>
    </row>
    <row r="9" s="97" customFormat="1" ht="68.25" customHeight="1" spans="1:7">
      <c r="A9" s="101">
        <v>8</v>
      </c>
      <c r="B9" s="101" t="s">
        <v>671</v>
      </c>
      <c r="C9" s="105" t="s">
        <v>672</v>
      </c>
      <c r="D9" s="101">
        <v>1</v>
      </c>
      <c r="E9" s="101" t="s">
        <v>10</v>
      </c>
      <c r="F9" s="101" t="str">
        <f>_xlfn.DISPIMG("ID_9C1D9BCC13BE47F4828552DDF5C09E31",1)</f>
        <v>=DISPIMG("ID_9C1D9BCC13BE47F4828552DDF5C09E31",1)</v>
      </c>
      <c r="G9" s="101"/>
    </row>
    <row r="10" s="97" customFormat="1" ht="76.9" customHeight="1" spans="1:7">
      <c r="A10" s="101">
        <v>9</v>
      </c>
      <c r="B10" s="101" t="s">
        <v>673</v>
      </c>
      <c r="C10" s="105" t="s">
        <v>674</v>
      </c>
      <c r="D10" s="101">
        <v>1</v>
      </c>
      <c r="E10" s="101" t="s">
        <v>16</v>
      </c>
      <c r="F10" s="101" t="str">
        <f>_xlfn.DISPIMG("ID_4A4CD7DA597242519DFFF4781CC4FF06",1)</f>
        <v>=DISPIMG("ID_4A4CD7DA597242519DFFF4781CC4FF06",1)</v>
      </c>
      <c r="G10" s="101"/>
    </row>
    <row r="11" s="97" customFormat="1" ht="76.9" customHeight="1" spans="1:7">
      <c r="A11" s="101">
        <v>10</v>
      </c>
      <c r="B11" s="101" t="s">
        <v>675</v>
      </c>
      <c r="C11" s="105" t="s">
        <v>676</v>
      </c>
      <c r="D11" s="101">
        <v>1</v>
      </c>
      <c r="E11" s="101" t="s">
        <v>16</v>
      </c>
      <c r="F11" s="101" t="str">
        <f>_xlfn.DISPIMG("ID_AEFB45FF9A86477E9617055D8CED8072",1)</f>
        <v>=DISPIMG("ID_AEFB45FF9A86477E9617055D8CED8072",1)</v>
      </c>
      <c r="G11" s="101"/>
    </row>
    <row r="12" s="97" customFormat="1" ht="76.9" customHeight="1" spans="1:7">
      <c r="A12" s="101">
        <v>11</v>
      </c>
      <c r="B12" s="111" t="s">
        <v>677</v>
      </c>
      <c r="C12" s="112" t="s">
        <v>678</v>
      </c>
      <c r="D12" s="101">
        <v>1</v>
      </c>
      <c r="E12" s="101" t="s">
        <v>16</v>
      </c>
      <c r="F12" s="113" t="str">
        <f>_xlfn.DISPIMG("ID_8737C3B83C6E4AA78BD38A8FC3394967",1)</f>
        <v>=DISPIMG("ID_8737C3B83C6E4AA78BD38A8FC3394967",1)</v>
      </c>
      <c r="G12" s="113"/>
    </row>
    <row r="13" s="97" customFormat="1" ht="72.75" customHeight="1" spans="1:7">
      <c r="A13" s="101">
        <v>12</v>
      </c>
      <c r="B13" s="101" t="s">
        <v>679</v>
      </c>
      <c r="C13" s="105" t="s">
        <v>680</v>
      </c>
      <c r="D13" s="101">
        <v>1</v>
      </c>
      <c r="E13" s="101" t="s">
        <v>16</v>
      </c>
      <c r="F13" s="101" t="str">
        <f>_xlfn.DISPIMG("ID_94D79F4A984949D8849FEC0159E0AAAA",1)</f>
        <v>=DISPIMG("ID_94D79F4A984949D8849FEC0159E0AAAA",1)</v>
      </c>
      <c r="G13" s="101"/>
    </row>
    <row r="14" s="97" customFormat="1" ht="76.9" customHeight="1" spans="1:7">
      <c r="A14" s="101">
        <v>13</v>
      </c>
      <c r="B14" s="101" t="s">
        <v>681</v>
      </c>
      <c r="C14" s="105" t="s">
        <v>682</v>
      </c>
      <c r="D14" s="101">
        <v>1</v>
      </c>
      <c r="E14" s="101" t="s">
        <v>16</v>
      </c>
      <c r="F14" s="101" t="str">
        <f>_xlfn.DISPIMG("ID_0BB3C19B01F7431FAFE36B302D4BF139",1)</f>
        <v>=DISPIMG("ID_0BB3C19B01F7431FAFE36B302D4BF139",1)</v>
      </c>
      <c r="G14" s="101"/>
    </row>
    <row r="15" s="97" customFormat="1" ht="76.9" customHeight="1" spans="1:7">
      <c r="A15" s="101">
        <v>14</v>
      </c>
      <c r="B15" s="101" t="s">
        <v>683</v>
      </c>
      <c r="C15" s="105" t="s">
        <v>684</v>
      </c>
      <c r="D15" s="101">
        <v>1</v>
      </c>
      <c r="E15" s="101" t="s">
        <v>10</v>
      </c>
      <c r="F15" s="101" t="str">
        <f>_xlfn.DISPIMG("ID_D55BCDD9B4BB4BFDA5690C0EA7BBEF6B",1)</f>
        <v>=DISPIMG("ID_D55BCDD9B4BB4BFDA5690C0EA7BBEF6B",1)</v>
      </c>
      <c r="G15" s="101"/>
    </row>
    <row r="16" s="97" customFormat="1" ht="76.9" customHeight="1" spans="1:7">
      <c r="A16" s="101">
        <v>15</v>
      </c>
      <c r="B16" s="101" t="s">
        <v>685</v>
      </c>
      <c r="C16" s="105" t="s">
        <v>686</v>
      </c>
      <c r="D16" s="101">
        <v>1</v>
      </c>
      <c r="E16" s="101" t="s">
        <v>687</v>
      </c>
      <c r="F16" s="101" t="str">
        <f>_xlfn.DISPIMG("ID_6319EBF822104F258E67D93EDB0F06C0",1)</f>
        <v>=DISPIMG("ID_6319EBF822104F258E67D93EDB0F06C0",1)</v>
      </c>
      <c r="G16" s="101"/>
    </row>
    <row r="17" s="97" customFormat="1" ht="76.9" customHeight="1" spans="1:7">
      <c r="A17" s="101">
        <v>16</v>
      </c>
      <c r="B17" s="101" t="s">
        <v>688</v>
      </c>
      <c r="C17" s="105" t="s">
        <v>689</v>
      </c>
      <c r="D17" s="101">
        <v>1</v>
      </c>
      <c r="E17" s="101" t="s">
        <v>331</v>
      </c>
      <c r="F17" s="101" t="str">
        <f>_xlfn.DISPIMG("ID_88CA46BA80674FF583A3B99AAC1B6BBB",1)</f>
        <v>=DISPIMG("ID_88CA46BA80674FF583A3B99AAC1B6BBB",1)</v>
      </c>
      <c r="G17" s="101"/>
    </row>
    <row r="18" s="97" customFormat="1" ht="76.9" customHeight="1" spans="1:7">
      <c r="A18" s="101">
        <v>17</v>
      </c>
      <c r="B18" s="101" t="s">
        <v>690</v>
      </c>
      <c r="C18" s="105" t="s">
        <v>691</v>
      </c>
      <c r="D18" s="101">
        <v>1</v>
      </c>
      <c r="E18" s="101" t="s">
        <v>71</v>
      </c>
      <c r="F18" s="101" t="str">
        <f>_xlfn.DISPIMG("ID_0EB3EAD784CB4D3F9CDCB4D70989004F",1)</f>
        <v>=DISPIMG("ID_0EB3EAD784CB4D3F9CDCB4D70989004F",1)</v>
      </c>
      <c r="G18" s="101"/>
    </row>
    <row r="19" s="97" customFormat="1" ht="45" customHeight="1" spans="1:7">
      <c r="A19" s="101">
        <v>18</v>
      </c>
      <c r="B19" s="101" t="s">
        <v>671</v>
      </c>
      <c r="C19" s="105" t="s">
        <v>672</v>
      </c>
      <c r="D19" s="101">
        <v>46</v>
      </c>
      <c r="E19" s="101" t="s">
        <v>10</v>
      </c>
      <c r="F19" s="101" t="str">
        <f>_xlfn.DISPIMG("ID_B5056C51E1D8473BB06E41082B8D3A8C",1)</f>
        <v>=DISPIMG("ID_B5056C51E1D8473BB06E41082B8D3A8C",1)</v>
      </c>
      <c r="G19" s="101"/>
    </row>
    <row r="20" s="97" customFormat="1" ht="43" customHeight="1" spans="1:7">
      <c r="A20" s="101">
        <v>19</v>
      </c>
      <c r="B20" s="101" t="s">
        <v>673</v>
      </c>
      <c r="C20" s="105" t="s">
        <v>692</v>
      </c>
      <c r="D20" s="101">
        <v>46</v>
      </c>
      <c r="E20" s="101" t="s">
        <v>16</v>
      </c>
      <c r="F20" s="101" t="str">
        <f>_xlfn.DISPIMG("ID_902CAC8DB46D4568B0FD3C84ACD89F55",1)</f>
        <v>=DISPIMG("ID_902CAC8DB46D4568B0FD3C84ACD89F55",1)</v>
      </c>
      <c r="G20" s="101"/>
    </row>
    <row r="21" s="97" customFormat="1" ht="76.9" customHeight="1" spans="1:7">
      <c r="A21" s="101">
        <v>20</v>
      </c>
      <c r="B21" s="101" t="s">
        <v>675</v>
      </c>
      <c r="C21" s="105" t="s">
        <v>693</v>
      </c>
      <c r="D21" s="101">
        <v>46</v>
      </c>
      <c r="E21" s="101" t="s">
        <v>16</v>
      </c>
      <c r="F21" s="101" t="str">
        <f>_xlfn.DISPIMG("ID_CF0C738B0DCD40BCB42B0F5DCAC0010B",1)</f>
        <v>=DISPIMG("ID_CF0C738B0DCD40BCB42B0F5DCAC0010B",1)</v>
      </c>
      <c r="G21" s="101"/>
    </row>
    <row r="22" s="97" customFormat="1" ht="76.9" customHeight="1" spans="1:7">
      <c r="A22" s="101">
        <v>21</v>
      </c>
      <c r="B22" s="111" t="s">
        <v>677</v>
      </c>
      <c r="C22" s="112" t="s">
        <v>678</v>
      </c>
      <c r="D22" s="101">
        <v>46</v>
      </c>
      <c r="E22" s="101" t="s">
        <v>16</v>
      </c>
      <c r="F22" s="113" t="str">
        <f>_xlfn.DISPIMG("ID_79B4CDE4EE2B4D8EAA14EB59BB9433B3",1)</f>
        <v>=DISPIMG("ID_79B4CDE4EE2B4D8EAA14EB59BB9433B3",1)</v>
      </c>
      <c r="G22" s="113"/>
    </row>
    <row r="23" s="97" customFormat="1" ht="76.9" customHeight="1" spans="1:7">
      <c r="A23" s="101">
        <v>22</v>
      </c>
      <c r="B23" s="101" t="s">
        <v>679</v>
      </c>
      <c r="C23" s="105" t="s">
        <v>694</v>
      </c>
      <c r="D23" s="101">
        <v>46</v>
      </c>
      <c r="E23" s="101" t="s">
        <v>16</v>
      </c>
      <c r="F23" s="101" t="str">
        <f>_xlfn.DISPIMG("ID_81ADED288AD64FF7BCB7294F144FC9CF",1)</f>
        <v>=DISPIMG("ID_81ADED288AD64FF7BCB7294F144FC9CF",1)</v>
      </c>
      <c r="G23" s="101"/>
    </row>
    <row r="24" s="97" customFormat="1" ht="72" customHeight="1" spans="1:7">
      <c r="A24" s="101">
        <v>23</v>
      </c>
      <c r="B24" s="101" t="s">
        <v>681</v>
      </c>
      <c r="C24" s="105" t="s">
        <v>695</v>
      </c>
      <c r="D24" s="101">
        <v>46</v>
      </c>
      <c r="E24" s="101" t="s">
        <v>16</v>
      </c>
      <c r="F24" s="101" t="str">
        <f>_xlfn.DISPIMG("ID_D9DB5E405DA04724A931D99BA21E6EDE",1)</f>
        <v>=DISPIMG("ID_D9DB5E405DA04724A931D99BA21E6EDE",1)</v>
      </c>
      <c r="G24" s="101"/>
    </row>
    <row r="25" s="97" customFormat="1" ht="49" customHeight="1" spans="1:7">
      <c r="A25" s="101">
        <v>24</v>
      </c>
      <c r="B25" s="101" t="s">
        <v>696</v>
      </c>
      <c r="C25" s="105" t="s">
        <v>697</v>
      </c>
      <c r="D25" s="101">
        <v>46</v>
      </c>
      <c r="E25" s="101" t="s">
        <v>425</v>
      </c>
      <c r="F25" s="101" t="str">
        <f>_xlfn.DISPIMG("ID_0ED7ACD83D77463BBC8EA8E859AB3B3A",1)</f>
        <v>=DISPIMG("ID_0ED7ACD83D77463BBC8EA8E859AB3B3A",1)</v>
      </c>
      <c r="G25" s="101"/>
    </row>
    <row r="26" s="97" customFormat="1" ht="44" customHeight="1" spans="1:7">
      <c r="A26" s="101">
        <v>25</v>
      </c>
      <c r="B26" s="101" t="s">
        <v>685</v>
      </c>
      <c r="C26" s="105" t="s">
        <v>698</v>
      </c>
      <c r="D26" s="101">
        <v>46</v>
      </c>
      <c r="E26" s="101" t="s">
        <v>687</v>
      </c>
      <c r="F26" s="101" t="str">
        <f>_xlfn.DISPIMG("ID_24663595EA4846188EE69FD875536793",1)</f>
        <v>=DISPIMG("ID_24663595EA4846188EE69FD875536793",1)</v>
      </c>
      <c r="G26" s="101"/>
    </row>
    <row r="27" s="97" customFormat="1" ht="42" customHeight="1" spans="1:7">
      <c r="A27" s="101">
        <v>26</v>
      </c>
      <c r="B27" s="101" t="s">
        <v>688</v>
      </c>
      <c r="C27" s="105" t="s">
        <v>699</v>
      </c>
      <c r="D27" s="101">
        <v>46</v>
      </c>
      <c r="E27" s="101" t="s">
        <v>700</v>
      </c>
      <c r="F27" s="101" t="str">
        <f>_xlfn.DISPIMG("ID_BF1F5007A5154D1FA6446C3539C5B85C",1)</f>
        <v>=DISPIMG("ID_BF1F5007A5154D1FA6446C3539C5B85C",1)</v>
      </c>
      <c r="G27" s="101"/>
    </row>
    <row r="28" s="97" customFormat="1" ht="43" customHeight="1" spans="1:7">
      <c r="A28" s="101">
        <v>27</v>
      </c>
      <c r="B28" s="101" t="s">
        <v>701</v>
      </c>
      <c r="C28" s="105" t="s">
        <v>702</v>
      </c>
      <c r="D28" s="101">
        <v>23</v>
      </c>
      <c r="E28" s="101" t="s">
        <v>71</v>
      </c>
      <c r="F28" s="101" t="str">
        <f>_xlfn.DISPIMG("ID_6CA10D7D5EB242E49B07042FE2ABB163",1)</f>
        <v>=DISPIMG("ID_6CA10D7D5EB242E49B07042FE2ABB163",1)</v>
      </c>
      <c r="G28" s="101"/>
    </row>
    <row r="29" s="97" customFormat="1" ht="29" customHeight="1" spans="1:7">
      <c r="A29" s="101">
        <v>28</v>
      </c>
      <c r="B29" s="101" t="s">
        <v>703</v>
      </c>
      <c r="C29" s="105" t="s">
        <v>704</v>
      </c>
      <c r="D29" s="101">
        <v>46</v>
      </c>
      <c r="E29" s="101" t="s">
        <v>705</v>
      </c>
      <c r="F29" s="101" t="str">
        <f>_xlfn.DISPIMG("ID_FDFB6B45780140AD8E2AE59C0BBCAA9C",1)</f>
        <v>=DISPIMG("ID_FDFB6B45780140AD8E2AE59C0BBCAA9C",1)</v>
      </c>
      <c r="G29" s="101"/>
    </row>
    <row r="30" s="97" customFormat="1" ht="45" customHeight="1" spans="1:7">
      <c r="A30" s="101">
        <v>29</v>
      </c>
      <c r="B30" s="101" t="s">
        <v>706</v>
      </c>
      <c r="C30" s="105" t="s">
        <v>707</v>
      </c>
      <c r="D30" s="101">
        <v>10</v>
      </c>
      <c r="E30" s="101" t="s">
        <v>705</v>
      </c>
      <c r="F30" s="101" t="str">
        <f>_xlfn.DISPIMG("ID_B64882BA027B4BF49070CD57A755F7BB",1)</f>
        <v>=DISPIMG("ID_B64882BA027B4BF49070CD57A755F7BB",1)</v>
      </c>
      <c r="G30" s="101"/>
    </row>
    <row r="31" s="97" customFormat="1" ht="36" customHeight="1" spans="1:7">
      <c r="A31" s="101">
        <v>30</v>
      </c>
      <c r="B31" s="101" t="s">
        <v>708</v>
      </c>
      <c r="C31" s="105" t="s">
        <v>709</v>
      </c>
      <c r="D31" s="101">
        <v>10</v>
      </c>
      <c r="E31" s="101" t="s">
        <v>705</v>
      </c>
      <c r="F31" s="101" t="str">
        <f>_xlfn.DISPIMG("ID_FBC081A4BEF8414584D6959566784536",1)</f>
        <v>=DISPIMG("ID_FBC081A4BEF8414584D6959566784536",1)</v>
      </c>
      <c r="G31" s="101"/>
    </row>
    <row r="32" s="97" customFormat="1" ht="51" customHeight="1" spans="1:7">
      <c r="A32" s="101">
        <v>31</v>
      </c>
      <c r="B32" s="101" t="s">
        <v>710</v>
      </c>
      <c r="C32" s="105" t="s">
        <v>711</v>
      </c>
      <c r="D32" s="101">
        <v>46</v>
      </c>
      <c r="E32" s="101" t="s">
        <v>328</v>
      </c>
      <c r="F32" s="101" t="str">
        <f>_xlfn.DISPIMG("ID_915599ED7A684670860919248AA365C7",1)</f>
        <v>=DISPIMG("ID_915599ED7A684670860919248AA365C7",1)</v>
      </c>
      <c r="G32" s="101"/>
    </row>
    <row r="33" s="97" customFormat="1" ht="61.5" customHeight="1" spans="1:7">
      <c r="A33" s="101">
        <v>32</v>
      </c>
      <c r="B33" s="101" t="s">
        <v>712</v>
      </c>
      <c r="C33" s="105" t="s">
        <v>713</v>
      </c>
      <c r="D33" s="101">
        <v>46</v>
      </c>
      <c r="E33" s="101" t="s">
        <v>430</v>
      </c>
      <c r="F33" s="101" t="str">
        <f>_xlfn.DISPIMG("ID_F79B36FAEC724E26AB5F9358FDFC5B82",1)</f>
        <v>=DISPIMG("ID_F79B36FAEC724E26AB5F9358FDFC5B82",1)</v>
      </c>
      <c r="G33" s="101"/>
    </row>
    <row r="34" s="97" customFormat="1" ht="53.25" customHeight="1" spans="1:7">
      <c r="A34" s="101">
        <v>33</v>
      </c>
      <c r="B34" s="101" t="s">
        <v>714</v>
      </c>
      <c r="C34" s="105" t="s">
        <v>715</v>
      </c>
      <c r="D34" s="101">
        <v>10</v>
      </c>
      <c r="E34" s="101" t="s">
        <v>705</v>
      </c>
      <c r="F34" s="101" t="str">
        <f>_xlfn.DISPIMG("ID_ABCF89F6FDD44E389A4CBC2328AE8396",1)</f>
        <v>=DISPIMG("ID_ABCF89F6FDD44E389A4CBC2328AE8396",1)</v>
      </c>
      <c r="G34" s="101"/>
    </row>
    <row r="35" s="97" customFormat="1" ht="48" customHeight="1" spans="1:7">
      <c r="A35" s="101">
        <v>34</v>
      </c>
      <c r="B35" s="101" t="s">
        <v>714</v>
      </c>
      <c r="C35" s="105" t="s">
        <v>716</v>
      </c>
      <c r="D35" s="101">
        <v>10</v>
      </c>
      <c r="E35" s="101" t="s">
        <v>705</v>
      </c>
      <c r="F35" s="101"/>
      <c r="G35" s="101"/>
    </row>
    <row r="36" s="97" customFormat="1" ht="76.9" customHeight="1" spans="1:7">
      <c r="A36" s="101">
        <v>35</v>
      </c>
      <c r="B36" s="101" t="s">
        <v>717</v>
      </c>
      <c r="C36" s="105" t="s">
        <v>718</v>
      </c>
      <c r="D36" s="101">
        <v>46</v>
      </c>
      <c r="E36" s="101" t="s">
        <v>16</v>
      </c>
      <c r="F36" s="101" t="str">
        <f>_xlfn.DISPIMG("ID_08B747AD3A5B451E84296BF3D4B3B713",1)</f>
        <v>=DISPIMG("ID_08B747AD3A5B451E84296BF3D4B3B713",1)</v>
      </c>
      <c r="G36" s="101"/>
    </row>
    <row r="37" s="97" customFormat="1" ht="68.25" customHeight="1" spans="1:7">
      <c r="A37" s="101">
        <v>36</v>
      </c>
      <c r="B37" s="101" t="s">
        <v>719</v>
      </c>
      <c r="C37" s="105" t="s">
        <v>720</v>
      </c>
      <c r="D37" s="101">
        <v>46</v>
      </c>
      <c r="E37" s="101" t="s">
        <v>10</v>
      </c>
      <c r="F37" s="101" t="str">
        <f>_xlfn.DISPIMG("ID_1292CD1D6F894088BC98687BFCCAC951",1)</f>
        <v>=DISPIMG("ID_1292CD1D6F894088BC98687BFCCAC951",1)</v>
      </c>
      <c r="G37" s="101"/>
    </row>
    <row r="38" s="97" customFormat="1" ht="76.9" customHeight="1" spans="1:7">
      <c r="A38" s="101">
        <v>37</v>
      </c>
      <c r="B38" s="101" t="s">
        <v>721</v>
      </c>
      <c r="C38" s="105" t="s">
        <v>722</v>
      </c>
      <c r="D38" s="101">
        <v>46</v>
      </c>
      <c r="E38" s="101" t="s">
        <v>10</v>
      </c>
      <c r="F38" s="101" t="str">
        <f>_xlfn.DISPIMG("ID_2C250580754244ACB640ECE7E89CE7A8",1)</f>
        <v>=DISPIMG("ID_2C250580754244ACB640ECE7E89CE7A8",1)</v>
      </c>
      <c r="G38" s="101"/>
    </row>
    <row r="39" s="97" customFormat="1" ht="72.75" customHeight="1" spans="1:7">
      <c r="A39" s="101">
        <v>38</v>
      </c>
      <c r="B39" s="101" t="s">
        <v>723</v>
      </c>
      <c r="C39" s="105" t="s">
        <v>724</v>
      </c>
      <c r="D39" s="101">
        <v>46</v>
      </c>
      <c r="E39" s="101" t="s">
        <v>16</v>
      </c>
      <c r="F39" s="101" t="str">
        <f>_xlfn.DISPIMG("ID_258F2E9B3E774351B819EF0BE8FF1279",1)</f>
        <v>=DISPIMG("ID_258F2E9B3E774351B819EF0BE8FF1279",1)</v>
      </c>
      <c r="G39" s="101"/>
    </row>
    <row r="40" s="97" customFormat="1" ht="76.9" customHeight="1" spans="1:7">
      <c r="A40" s="101">
        <v>39</v>
      </c>
      <c r="B40" s="101" t="s">
        <v>725</v>
      </c>
      <c r="C40" s="105" t="s">
        <v>726</v>
      </c>
      <c r="D40" s="101">
        <v>46</v>
      </c>
      <c r="E40" s="101" t="s">
        <v>16</v>
      </c>
      <c r="F40" s="101" t="str">
        <f>_xlfn.DISPIMG("ID_F6AE5B809B8545F789BB3A7F84D5AB8D",1)</f>
        <v>=DISPIMG("ID_F6AE5B809B8545F789BB3A7F84D5AB8D",1)</v>
      </c>
      <c r="G40" s="101"/>
    </row>
    <row r="41" s="97" customFormat="1" ht="76.9" customHeight="1" spans="1:7">
      <c r="A41" s="101">
        <v>40</v>
      </c>
      <c r="B41" s="101" t="s">
        <v>727</v>
      </c>
      <c r="C41" s="105" t="s">
        <v>728</v>
      </c>
      <c r="D41" s="101">
        <v>1</v>
      </c>
      <c r="E41" s="101" t="s">
        <v>16</v>
      </c>
      <c r="F41" s="101" t="str">
        <f>_xlfn.DISPIMG("ID_54C12A4EBBDD42AFA1809AE99FA7855D",1)</f>
        <v>=DISPIMG("ID_54C12A4EBBDD42AFA1809AE99FA7855D",1)</v>
      </c>
      <c r="G41" s="101"/>
    </row>
    <row r="42" s="97" customFormat="1" ht="69" customHeight="1" spans="1:7">
      <c r="A42" s="101">
        <v>41</v>
      </c>
      <c r="B42" s="101" t="s">
        <v>727</v>
      </c>
      <c r="C42" s="105" t="s">
        <v>729</v>
      </c>
      <c r="D42" s="101">
        <v>46</v>
      </c>
      <c r="E42" s="101" t="s">
        <v>16</v>
      </c>
      <c r="F42" s="101" t="str">
        <f>_xlfn.DISPIMG("ID_6BA8FCC726B441E5BCA30A4CC1A1040B",1)</f>
        <v>=DISPIMG("ID_6BA8FCC726B441E5BCA30A4CC1A1040B",1)</v>
      </c>
      <c r="G42" s="101"/>
    </row>
    <row r="43" s="97" customFormat="1" ht="76.9" customHeight="1" spans="1:7">
      <c r="A43" s="101">
        <v>42</v>
      </c>
      <c r="B43" s="101" t="s">
        <v>730</v>
      </c>
      <c r="C43" s="105" t="s">
        <v>731</v>
      </c>
      <c r="D43" s="101">
        <v>46</v>
      </c>
      <c r="E43" s="101" t="s">
        <v>16</v>
      </c>
      <c r="F43" s="101" t="str">
        <f>_xlfn.DISPIMG("ID_F80E00FCDCF949B59D4015A33181174E",1)</f>
        <v>=DISPIMG("ID_F80E00FCDCF949B59D4015A33181174E",1)</v>
      </c>
      <c r="G43" s="101"/>
    </row>
    <row r="44" s="97" customFormat="1" ht="76.9" customHeight="1" spans="1:7">
      <c r="A44" s="101">
        <v>43</v>
      </c>
      <c r="B44" s="101" t="s">
        <v>732</v>
      </c>
      <c r="C44" s="105" t="s">
        <v>733</v>
      </c>
      <c r="D44" s="101">
        <v>46</v>
      </c>
      <c r="E44" s="101" t="s">
        <v>622</v>
      </c>
      <c r="F44" s="101" t="str">
        <f>_xlfn.DISPIMG("ID_41ECE602B8FB42FFB352F136B79C00DA",1)</f>
        <v>=DISPIMG("ID_41ECE602B8FB42FFB352F136B79C00DA",1)</v>
      </c>
      <c r="G44" s="101"/>
    </row>
    <row r="45" s="97" customFormat="1" ht="76.9" customHeight="1" spans="1:7">
      <c r="A45" s="101">
        <v>44</v>
      </c>
      <c r="B45" s="101" t="s">
        <v>734</v>
      </c>
      <c r="C45" s="105" t="s">
        <v>735</v>
      </c>
      <c r="D45" s="101">
        <v>46</v>
      </c>
      <c r="E45" s="101" t="s">
        <v>10</v>
      </c>
      <c r="F45" s="101" t="str">
        <f>_xlfn.DISPIMG("ID_508315E1890647F489FF43BA68A36C9A",1)</f>
        <v>=DISPIMG("ID_508315E1890647F489FF43BA68A36C9A",1)</v>
      </c>
      <c r="G45" s="101"/>
    </row>
    <row r="46" s="97" customFormat="1" ht="76.9" customHeight="1" spans="1:7">
      <c r="A46" s="101">
        <v>45</v>
      </c>
      <c r="B46" s="101" t="s">
        <v>736</v>
      </c>
      <c r="C46" s="105" t="s">
        <v>737</v>
      </c>
      <c r="D46" s="101">
        <v>46</v>
      </c>
      <c r="E46" s="101" t="s">
        <v>738</v>
      </c>
      <c r="F46" s="101" t="str">
        <f>_xlfn.DISPIMG("ID_EE1A665AC14345ACB82098345FCFC2C2",1)</f>
        <v>=DISPIMG("ID_EE1A665AC14345ACB82098345FCFC2C2",1)</v>
      </c>
      <c r="G46" s="101"/>
    </row>
    <row r="47" s="97" customFormat="1" ht="76.9" customHeight="1" spans="1:7">
      <c r="A47" s="101">
        <v>46</v>
      </c>
      <c r="B47" s="101" t="s">
        <v>739</v>
      </c>
      <c r="C47" s="105" t="s">
        <v>740</v>
      </c>
      <c r="D47" s="101">
        <v>46</v>
      </c>
      <c r="E47" s="101" t="s">
        <v>328</v>
      </c>
      <c r="F47" s="101" t="str">
        <f>_xlfn.DISPIMG("ID_39A58F6123464970BFA0D1A1B6333B24",1)</f>
        <v>=DISPIMG("ID_39A58F6123464970BFA0D1A1B6333B24",1)</v>
      </c>
      <c r="G47" s="101"/>
    </row>
    <row r="48" s="97" customFormat="1" ht="76.9" customHeight="1" spans="1:7">
      <c r="A48" s="101">
        <v>47</v>
      </c>
      <c r="B48" s="101" t="s">
        <v>741</v>
      </c>
      <c r="C48" s="105" t="s">
        <v>742</v>
      </c>
      <c r="D48" s="101">
        <v>46</v>
      </c>
      <c r="E48" s="101" t="s">
        <v>10</v>
      </c>
      <c r="F48" s="101" t="str">
        <f>_xlfn.DISPIMG("ID_CEC2D13CD10D406FB62C3AF9D43D9F84",1)</f>
        <v>=DISPIMG("ID_CEC2D13CD10D406FB62C3AF9D43D9F84",1)</v>
      </c>
      <c r="G48" s="101"/>
    </row>
    <row r="49" s="97" customFormat="1" ht="76.9" customHeight="1" spans="1:7">
      <c r="A49" s="101">
        <v>48</v>
      </c>
      <c r="B49" s="101" t="s">
        <v>743</v>
      </c>
      <c r="C49" s="105" t="s">
        <v>744</v>
      </c>
      <c r="D49" s="101">
        <v>46</v>
      </c>
      <c r="E49" s="101" t="s">
        <v>738</v>
      </c>
      <c r="F49" s="101" t="str">
        <f>_xlfn.DISPIMG("ID_5BBD3CBB316A4139A20D548B86EA395E",1)</f>
        <v>=DISPIMG("ID_5BBD3CBB316A4139A20D548B86EA395E",1)</v>
      </c>
      <c r="G49" s="101"/>
    </row>
    <row r="50" s="97" customFormat="1" ht="59.25" customHeight="1" spans="1:7">
      <c r="A50" s="101">
        <v>49</v>
      </c>
      <c r="B50" s="101" t="s">
        <v>745</v>
      </c>
      <c r="C50" s="105" t="s">
        <v>746</v>
      </c>
      <c r="D50" s="101">
        <v>46</v>
      </c>
      <c r="E50" s="101" t="s">
        <v>10</v>
      </c>
      <c r="F50" s="101" t="str">
        <f>_xlfn.DISPIMG("ID_7ECFEA1484104834B4AEC0443C0252FC",1)</f>
        <v>=DISPIMG("ID_7ECFEA1484104834B4AEC0443C0252FC",1)</v>
      </c>
      <c r="G50" s="101"/>
    </row>
    <row r="51" s="97" customFormat="1" ht="76.9" customHeight="1" spans="1:7">
      <c r="A51" s="101">
        <v>50</v>
      </c>
      <c r="B51" s="101" t="s">
        <v>747</v>
      </c>
      <c r="C51" s="105" t="s">
        <v>748</v>
      </c>
      <c r="D51" s="101">
        <v>46</v>
      </c>
      <c r="E51" s="101" t="s">
        <v>10</v>
      </c>
      <c r="F51" s="101" t="str">
        <f>_xlfn.DISPIMG("ID_C7A256FDC20F4387ABDE326C583AC37A",1)</f>
        <v>=DISPIMG("ID_C7A256FDC20F4387ABDE326C583AC37A",1)</v>
      </c>
      <c r="G51" s="101"/>
    </row>
    <row r="52" s="97" customFormat="1" ht="76.9" customHeight="1" spans="1:7">
      <c r="A52" s="101">
        <v>51</v>
      </c>
      <c r="B52" s="101" t="s">
        <v>749</v>
      </c>
      <c r="C52" s="105" t="s">
        <v>750</v>
      </c>
      <c r="D52" s="101">
        <v>46</v>
      </c>
      <c r="E52" s="101" t="s">
        <v>738</v>
      </c>
      <c r="F52" s="101" t="str">
        <f>_xlfn.DISPIMG("ID_DFA7F0B4BA7D448BBEAED93148E25239",1)</f>
        <v>=DISPIMG("ID_DFA7F0B4BA7D448BBEAED93148E25239",1)</v>
      </c>
      <c r="G52" s="101"/>
    </row>
    <row r="53" s="97" customFormat="1" ht="76.9" customHeight="1" spans="1:7">
      <c r="A53" s="101">
        <v>52</v>
      </c>
      <c r="B53" s="101" t="s">
        <v>751</v>
      </c>
      <c r="C53" s="105" t="s">
        <v>752</v>
      </c>
      <c r="D53" s="101">
        <v>46</v>
      </c>
      <c r="E53" s="101" t="s">
        <v>10</v>
      </c>
      <c r="F53" s="101" t="str">
        <f>_xlfn.DISPIMG("ID_4D75F0D34A0A42E69340034A214A2DF1",1)</f>
        <v>=DISPIMG("ID_4D75F0D34A0A42E69340034A214A2DF1",1)</v>
      </c>
      <c r="G53" s="101"/>
    </row>
    <row r="54" s="97" customFormat="1" ht="76.9" customHeight="1" spans="1:7">
      <c r="A54" s="101">
        <v>53</v>
      </c>
      <c r="B54" s="101" t="s">
        <v>753</v>
      </c>
      <c r="C54" s="105" t="s">
        <v>754</v>
      </c>
      <c r="D54" s="101">
        <v>46</v>
      </c>
      <c r="E54" s="101" t="s">
        <v>16</v>
      </c>
      <c r="F54" s="101" t="str">
        <f>_xlfn.DISPIMG("ID_8498455E3BC04A45B1C30F02CD01FF6B",1)</f>
        <v>=DISPIMG("ID_8498455E3BC04A45B1C30F02CD01FF6B",1)</v>
      </c>
      <c r="G54" s="101"/>
    </row>
    <row r="55" s="97" customFormat="1" ht="76.9" customHeight="1" spans="1:7">
      <c r="A55" s="101">
        <v>54</v>
      </c>
      <c r="B55" s="101" t="s">
        <v>755</v>
      </c>
      <c r="C55" s="105" t="s">
        <v>756</v>
      </c>
      <c r="D55" s="101">
        <v>46</v>
      </c>
      <c r="E55" s="101" t="s">
        <v>16</v>
      </c>
      <c r="F55" s="101" t="str">
        <f>_xlfn.DISPIMG("ID_0274344FA56B43218EF40ABD7C4DFE50",1)</f>
        <v>=DISPIMG("ID_0274344FA56B43218EF40ABD7C4DFE50",1)</v>
      </c>
      <c r="G55" s="101"/>
    </row>
    <row r="56" s="97" customFormat="1" ht="76.9" customHeight="1" spans="1:7">
      <c r="A56" s="101">
        <v>55</v>
      </c>
      <c r="B56" s="101" t="s">
        <v>757</v>
      </c>
      <c r="C56" s="105" t="s">
        <v>758</v>
      </c>
      <c r="D56" s="101">
        <v>46</v>
      </c>
      <c r="E56" s="101" t="s">
        <v>364</v>
      </c>
      <c r="F56" s="101" t="str">
        <f>_xlfn.DISPIMG("ID_C096E173C4D04D559F6D2427C6AF43B7",1)</f>
        <v>=DISPIMG("ID_C096E173C4D04D559F6D2427C6AF43B7",1)</v>
      </c>
      <c r="G56" s="101"/>
    </row>
    <row r="57" s="97" customFormat="1" ht="30" customHeight="1" spans="1:7">
      <c r="A57" s="106">
        <v>56</v>
      </c>
      <c r="B57" s="73" t="s">
        <v>659</v>
      </c>
      <c r="C57" s="114" t="s">
        <v>215</v>
      </c>
      <c r="D57" s="73">
        <v>8</v>
      </c>
      <c r="E57" s="73" t="s">
        <v>16</v>
      </c>
      <c r="F57" s="106"/>
      <c r="G57" s="106"/>
    </row>
    <row r="58" s="97" customFormat="1" ht="82.9" customHeight="1" spans="1:7">
      <c r="A58" s="101">
        <v>57</v>
      </c>
      <c r="B58" s="101" t="s">
        <v>759</v>
      </c>
      <c r="C58" s="103" t="s">
        <v>760</v>
      </c>
      <c r="D58" s="104">
        <v>6</v>
      </c>
      <c r="E58" s="104" t="s">
        <v>257</v>
      </c>
      <c r="F58" s="101" t="str">
        <f>_xlfn.DISPIMG("ID_213CA502F87F4445BD81BB0360669D1A",1)</f>
        <v>=DISPIMG("ID_213CA502F87F4445BD81BB0360669D1A",1)</v>
      </c>
      <c r="G58" s="101"/>
    </row>
  </sheetData>
  <mergeCells count="3">
    <mergeCell ref="A1:G1"/>
    <mergeCell ref="F7:F8"/>
    <mergeCell ref="H7:H8"/>
  </mergeCells>
  <pageMargins left="0.75" right="0.75" top="1" bottom="1" header="0.5" footer="0.5"/>
  <pageSetup paperSize="9" scale="8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opLeftCell="A4" workbookViewId="0">
      <selection activeCell="A9" sqref="$A9:$XFD9"/>
    </sheetView>
  </sheetViews>
  <sheetFormatPr defaultColWidth="9" defaultRowHeight="14.25" outlineLevelCol="5"/>
  <cols>
    <col min="1" max="1" width="5.38333333333333" style="81" customWidth="1"/>
    <col min="2" max="2" width="11" style="82" customWidth="1"/>
    <col min="3" max="3" width="76" style="83" customWidth="1"/>
    <col min="4" max="4" width="5.75" style="81" customWidth="1"/>
    <col min="5" max="5" width="5.63333333333333" style="83" customWidth="1"/>
    <col min="6" max="6" width="22.3833333333333" style="80" customWidth="1"/>
    <col min="7" max="16384" width="9" style="80"/>
  </cols>
  <sheetData>
    <row r="1" s="80" customFormat="1" ht="20.25" customHeight="1" spans="1:6">
      <c r="A1" s="84" t="s">
        <v>761</v>
      </c>
      <c r="B1" s="84"/>
      <c r="C1" s="85"/>
      <c r="D1" s="84"/>
      <c r="E1" s="84"/>
      <c r="F1" s="84"/>
    </row>
    <row r="2" s="80" customFormat="1" ht="24" customHeight="1" spans="1:6">
      <c r="A2" s="86" t="s">
        <v>1</v>
      </c>
      <c r="B2" s="87" t="s">
        <v>2</v>
      </c>
      <c r="C2" s="87" t="s">
        <v>222</v>
      </c>
      <c r="D2" s="87" t="s">
        <v>4</v>
      </c>
      <c r="E2" s="87" t="s">
        <v>5</v>
      </c>
      <c r="F2" s="86" t="s">
        <v>6</v>
      </c>
    </row>
    <row r="3" s="80" customFormat="1" ht="409" customHeight="1" spans="1:6">
      <c r="A3" s="88">
        <v>1</v>
      </c>
      <c r="B3" s="89" t="s">
        <v>762</v>
      </c>
      <c r="C3" s="90" t="s">
        <v>763</v>
      </c>
      <c r="D3" s="89">
        <v>1</v>
      </c>
      <c r="E3" s="89" t="s">
        <v>10</v>
      </c>
      <c r="F3" s="88" t="str">
        <f>_xlfn.DISPIMG("ID_47CD91B4CE76427BB6F1DC00AC4D7462",1)</f>
        <v>=DISPIMG("ID_47CD91B4CE76427BB6F1DC00AC4D7462",1)</v>
      </c>
    </row>
    <row r="4" s="80" customFormat="1" ht="409" customHeight="1" spans="1:6">
      <c r="A4" s="91">
        <v>2</v>
      </c>
      <c r="B4" s="92" t="s">
        <v>764</v>
      </c>
      <c r="C4" s="90" t="s">
        <v>765</v>
      </c>
      <c r="D4" s="92">
        <v>1</v>
      </c>
      <c r="E4" s="89" t="s">
        <v>10</v>
      </c>
      <c r="F4" s="91" t="str">
        <f>_xlfn.DISPIMG("ID_D539374321A84B51B960A0B77DCF6F51",1)</f>
        <v>=DISPIMG("ID_D539374321A84B51B960A0B77DCF6F51",1)</v>
      </c>
    </row>
    <row r="5" s="80" customFormat="1" ht="125.1" customHeight="1" spans="1:6">
      <c r="A5" s="91">
        <v>3</v>
      </c>
      <c r="B5" s="92" t="s">
        <v>766</v>
      </c>
      <c r="C5" s="90" t="s">
        <v>767</v>
      </c>
      <c r="D5" s="92">
        <v>1</v>
      </c>
      <c r="E5" s="89" t="s">
        <v>10</v>
      </c>
      <c r="F5" s="91" t="str">
        <f>_xlfn.DISPIMG("ID_A45B9D723B69491E8168AE5BC9CED3B9",1)</f>
        <v>=DISPIMG("ID_A45B9D723B69491E8168AE5BC9CED3B9",1)</v>
      </c>
    </row>
    <row r="6" s="80" customFormat="1" ht="125.1" customHeight="1" spans="1:6">
      <c r="A6" s="91">
        <v>4</v>
      </c>
      <c r="B6" s="92" t="s">
        <v>768</v>
      </c>
      <c r="C6" s="90" t="s">
        <v>769</v>
      </c>
      <c r="D6" s="92">
        <v>1</v>
      </c>
      <c r="E6" s="89" t="s">
        <v>10</v>
      </c>
      <c r="F6" s="91" t="str">
        <f>_xlfn.DISPIMG("ID_AAF69C7E14DE498DBE7734E6B8442079",1)</f>
        <v>=DISPIMG("ID_AAF69C7E14DE498DBE7734E6B8442079",1)</v>
      </c>
    </row>
    <row r="7" s="80" customFormat="1" ht="125.1" customHeight="1" spans="1:6">
      <c r="A7" s="91">
        <v>5</v>
      </c>
      <c r="B7" s="92" t="s">
        <v>770</v>
      </c>
      <c r="C7" s="90" t="s">
        <v>771</v>
      </c>
      <c r="D7" s="92">
        <v>1</v>
      </c>
      <c r="E7" s="89" t="s">
        <v>10</v>
      </c>
      <c r="F7" s="91" t="str">
        <f>_xlfn.DISPIMG("ID_5D6F0D357DED44A09EA457F77E27C037",1)</f>
        <v>=DISPIMG("ID_5D6F0D357DED44A09EA457F77E27C037",1)</v>
      </c>
    </row>
    <row r="8" s="80" customFormat="1" ht="333" customHeight="1" spans="1:6">
      <c r="A8" s="91">
        <v>6</v>
      </c>
      <c r="B8" s="89" t="s">
        <v>772</v>
      </c>
      <c r="C8" s="93" t="s">
        <v>773</v>
      </c>
      <c r="D8" s="92">
        <v>1</v>
      </c>
      <c r="E8" s="89" t="s">
        <v>10</v>
      </c>
      <c r="F8" s="94" t="str">
        <f>_xlfn.DISPIMG("ID_39A1F0193EBE4CD4ABEABACFEAA4ADB4",1)</f>
        <v>=DISPIMG("ID_39A1F0193EBE4CD4ABEABACFEAA4ADB4",1)</v>
      </c>
    </row>
    <row r="9" s="80" customFormat="1" ht="125.1" customHeight="1" spans="1:6">
      <c r="A9" s="91">
        <v>7</v>
      </c>
      <c r="B9" s="89" t="s">
        <v>774</v>
      </c>
      <c r="C9" s="90" t="s">
        <v>775</v>
      </c>
      <c r="D9" s="92">
        <v>1</v>
      </c>
      <c r="E9" s="89" t="s">
        <v>10</v>
      </c>
      <c r="F9" s="94" t="str">
        <f>_xlfn.DISPIMG("ID_D0D5117C272B432892FFD46D07B88FE2",1)</f>
        <v>=DISPIMG("ID_D0D5117C272B432892FFD46D07B88FE2",1)</v>
      </c>
    </row>
    <row r="10" s="80" customFormat="1" ht="25.15" customHeight="1" spans="1:6">
      <c r="A10" s="95">
        <v>8</v>
      </c>
      <c r="B10" s="89" t="s">
        <v>776</v>
      </c>
      <c r="C10" s="96" t="s">
        <v>777</v>
      </c>
      <c r="D10" s="91">
        <v>1</v>
      </c>
      <c r="E10" s="89" t="s">
        <v>10</v>
      </c>
      <c r="F10" s="94"/>
    </row>
  </sheetData>
  <mergeCells count="1">
    <mergeCell ref="A1:F1"/>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opLeftCell="A11" workbookViewId="0">
      <selection activeCell="A12" sqref="$A12:$XFD12"/>
    </sheetView>
  </sheetViews>
  <sheetFormatPr defaultColWidth="9" defaultRowHeight="22.15" customHeight="1" outlineLevelCol="6"/>
  <cols>
    <col min="1" max="1" width="5.63333333333333" style="66" customWidth="1"/>
    <col min="2" max="2" width="11.75" style="67" customWidth="1"/>
    <col min="3" max="3" width="62.25" style="66" customWidth="1"/>
    <col min="4" max="4" width="6.5" style="68" customWidth="1"/>
    <col min="5" max="5" width="7.5" style="68" customWidth="1"/>
    <col min="6" max="6" width="20.8833333333333" style="66" customWidth="1"/>
    <col min="7" max="7" width="8.5" style="68" customWidth="1"/>
    <col min="8" max="16378" width="9" style="66"/>
    <col min="16379" max="16384" width="9" style="69"/>
  </cols>
  <sheetData>
    <row r="1" s="66" customFormat="1" ht="25.9" customHeight="1" spans="1:7">
      <c r="A1" s="70" t="s">
        <v>778</v>
      </c>
      <c r="B1" s="70"/>
      <c r="C1" s="70"/>
      <c r="D1" s="70"/>
      <c r="E1" s="70"/>
      <c r="F1" s="70"/>
      <c r="G1" s="70"/>
    </row>
    <row r="2" s="66" customFormat="1" ht="20" customHeight="1" spans="1:7">
      <c r="A2" s="71" t="s">
        <v>1</v>
      </c>
      <c r="B2" s="72" t="s">
        <v>2</v>
      </c>
      <c r="C2" s="71" t="s">
        <v>3</v>
      </c>
      <c r="D2" s="71" t="s">
        <v>4</v>
      </c>
      <c r="E2" s="71" t="s">
        <v>5</v>
      </c>
      <c r="F2" s="71" t="s">
        <v>6</v>
      </c>
      <c r="G2" s="71" t="s">
        <v>7</v>
      </c>
    </row>
    <row r="3" s="66" customFormat="1" ht="55.9" customHeight="1" spans="1:7">
      <c r="A3" s="73">
        <v>1</v>
      </c>
      <c r="B3" s="74" t="s">
        <v>779</v>
      </c>
      <c r="C3" s="75" t="s">
        <v>780</v>
      </c>
      <c r="D3" s="74">
        <v>6</v>
      </c>
      <c r="E3" s="74" t="s">
        <v>10</v>
      </c>
      <c r="F3" s="76" t="str">
        <f>_xlfn.DISPIMG("ID_B5563E4B67464A58A9B0A1F007727CD4",1)</f>
        <v>=DISPIMG("ID_B5563E4B67464A58A9B0A1F007727CD4",1)</v>
      </c>
      <c r="G3" s="76"/>
    </row>
    <row r="4" s="66" customFormat="1" ht="47.45" customHeight="1" spans="1:7">
      <c r="A4" s="73">
        <v>2</v>
      </c>
      <c r="B4" s="74" t="s">
        <v>781</v>
      </c>
      <c r="C4" s="75" t="s">
        <v>782</v>
      </c>
      <c r="D4" s="74">
        <v>30</v>
      </c>
      <c r="E4" s="74" t="s">
        <v>16</v>
      </c>
      <c r="F4" s="76" t="str">
        <f>_xlfn.DISPIMG("ID_646152806F454F2C9869EA3C73E1E4DD",1)</f>
        <v>=DISPIMG("ID_646152806F454F2C9869EA3C73E1E4DD",1)</v>
      </c>
      <c r="G4" s="76"/>
    </row>
    <row r="5" s="66" customFormat="1" ht="42" customHeight="1" spans="1:7">
      <c r="A5" s="73">
        <v>3</v>
      </c>
      <c r="B5" s="73" t="s">
        <v>783</v>
      </c>
      <c r="C5" s="77" t="s">
        <v>784</v>
      </c>
      <c r="D5" s="73">
        <v>6</v>
      </c>
      <c r="E5" s="73" t="s">
        <v>16</v>
      </c>
      <c r="F5" s="76" t="str">
        <f>_xlfn.DISPIMG("ID_C1ED437093914A81B4E24CD1CEC1D761",1)</f>
        <v>=DISPIMG("ID_C1ED437093914A81B4E24CD1CEC1D761",1)</v>
      </c>
      <c r="G5" s="76"/>
    </row>
    <row r="6" s="66" customFormat="1" ht="51" customHeight="1" spans="1:7">
      <c r="A6" s="73">
        <v>4</v>
      </c>
      <c r="B6" s="73" t="s">
        <v>785</v>
      </c>
      <c r="C6" s="77" t="s">
        <v>786</v>
      </c>
      <c r="D6" s="73">
        <v>90</v>
      </c>
      <c r="E6" s="73" t="s">
        <v>622</v>
      </c>
      <c r="F6" s="76" t="str">
        <f>_xlfn.DISPIMG("ID_8C5E69EA9BC0483980EB2E6BEF794827",1)</f>
        <v>=DISPIMG("ID_8C5E69EA9BC0483980EB2E6BEF794827",1)</v>
      </c>
      <c r="G6" s="76"/>
    </row>
    <row r="7" s="66" customFormat="1" ht="55.9" customHeight="1" spans="1:7">
      <c r="A7" s="73">
        <v>5</v>
      </c>
      <c r="B7" s="73" t="s">
        <v>787</v>
      </c>
      <c r="C7" s="77" t="s">
        <v>788</v>
      </c>
      <c r="D7" s="73">
        <v>46</v>
      </c>
      <c r="E7" s="73" t="s">
        <v>622</v>
      </c>
      <c r="F7" s="76" t="str">
        <f>_xlfn.DISPIMG("ID_F4B9A4C58696494388D804607EBF9BBE",1)</f>
        <v>=DISPIMG("ID_F4B9A4C58696494388D804607EBF9BBE",1)</v>
      </c>
      <c r="G7" s="76"/>
    </row>
    <row r="8" s="66" customFormat="1" ht="54" customHeight="1" spans="1:7">
      <c r="A8" s="73">
        <v>6</v>
      </c>
      <c r="B8" s="73" t="s">
        <v>789</v>
      </c>
      <c r="C8" s="77" t="s">
        <v>790</v>
      </c>
      <c r="D8" s="73">
        <v>23</v>
      </c>
      <c r="E8" s="73" t="s">
        <v>16</v>
      </c>
      <c r="F8" s="76" t="str">
        <f>_xlfn.DISPIMG("ID_8060F530313F41E5AA4A789CFFEEF058",1)</f>
        <v>=DISPIMG("ID_8060F530313F41E5AA4A789CFFEEF058",1)</v>
      </c>
      <c r="G8" s="76"/>
    </row>
    <row r="9" s="66" customFormat="1" ht="54" customHeight="1" spans="1:7">
      <c r="A9" s="73">
        <v>7</v>
      </c>
      <c r="B9" s="73" t="s">
        <v>791</v>
      </c>
      <c r="C9" s="77" t="s">
        <v>792</v>
      </c>
      <c r="D9" s="73">
        <v>46</v>
      </c>
      <c r="E9" s="73" t="s">
        <v>76</v>
      </c>
      <c r="F9" s="76" t="str">
        <f>_xlfn.DISPIMG("ID_52F685946EEE4802A028A25D52A082B8",1)</f>
        <v>=DISPIMG("ID_52F685946EEE4802A028A25D52A082B8",1)</v>
      </c>
      <c r="G9" s="76"/>
    </row>
    <row r="10" s="66" customFormat="1" ht="48" customHeight="1" spans="1:7">
      <c r="A10" s="73">
        <v>8</v>
      </c>
      <c r="B10" s="73" t="s">
        <v>793</v>
      </c>
      <c r="C10" s="78" t="s">
        <v>794</v>
      </c>
      <c r="D10" s="73">
        <v>13</v>
      </c>
      <c r="E10" s="73" t="s">
        <v>795</v>
      </c>
      <c r="F10" s="76" t="str">
        <f>_xlfn.DISPIMG("ID_1A0700E676384878BE7C918B6259338B",1)</f>
        <v>=DISPIMG("ID_1A0700E676384878BE7C918B6259338B",1)</v>
      </c>
      <c r="G10" s="73"/>
    </row>
    <row r="11" s="66" customFormat="1" ht="200" customHeight="1" spans="1:7">
      <c r="A11" s="73">
        <v>9</v>
      </c>
      <c r="B11" s="79" t="s">
        <v>796</v>
      </c>
      <c r="C11" s="78" t="s">
        <v>797</v>
      </c>
      <c r="D11" s="73">
        <v>46</v>
      </c>
      <c r="E11" s="73" t="s">
        <v>16</v>
      </c>
      <c r="F11" s="76"/>
      <c r="G11" s="73"/>
    </row>
    <row r="12" s="66" customFormat="1" ht="213" customHeight="1" spans="1:7">
      <c r="A12" s="73">
        <v>10</v>
      </c>
      <c r="B12" s="73" t="s">
        <v>798</v>
      </c>
      <c r="C12" s="77" t="s">
        <v>799</v>
      </c>
      <c r="D12" s="73">
        <v>6</v>
      </c>
      <c r="E12" s="73" t="s">
        <v>16</v>
      </c>
      <c r="F12" s="76"/>
      <c r="G12" s="76"/>
    </row>
  </sheetData>
  <mergeCells count="1">
    <mergeCell ref="A1:G1"/>
  </mergeCells>
  <pageMargins left="0.75" right="0.75" top="1" bottom="1" header="0.5" footer="0.5"/>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6"/>
  <sheetViews>
    <sheetView workbookViewId="0">
      <selection activeCell="A72" sqref="$A72:$XFD72"/>
    </sheetView>
  </sheetViews>
  <sheetFormatPr defaultColWidth="8.88333333333333" defaultRowHeight="13.5" outlineLevelCol="6"/>
  <cols>
    <col min="1" max="1" width="5.5" style="45" customWidth="1"/>
    <col min="2" max="2" width="13.3833333333333" style="45" customWidth="1"/>
    <col min="3" max="3" width="91.625" style="46" customWidth="1"/>
    <col min="4" max="5" width="5.38333333333333" style="45" customWidth="1"/>
    <col min="6" max="6" width="14.5" style="45" customWidth="1"/>
    <col min="7" max="7" width="6.25" style="45" customWidth="1"/>
    <col min="8" max="16384" width="8.88333333333333" style="45"/>
  </cols>
  <sheetData>
    <row r="1" s="45" customFormat="1" ht="25" customHeight="1" spans="1:7">
      <c r="A1" s="47" t="s">
        <v>800</v>
      </c>
      <c r="B1" s="48"/>
      <c r="C1" s="49"/>
      <c r="D1" s="48"/>
      <c r="E1" s="48"/>
      <c r="F1" s="48"/>
      <c r="G1" s="48"/>
    </row>
    <row r="2" s="45" customFormat="1" ht="25" customHeight="1" spans="1:7">
      <c r="A2" s="50" t="s">
        <v>1</v>
      </c>
      <c r="B2" s="51" t="s">
        <v>2</v>
      </c>
      <c r="C2" s="52" t="s">
        <v>3</v>
      </c>
      <c r="D2" s="51" t="s">
        <v>5</v>
      </c>
      <c r="E2" s="51" t="s">
        <v>4</v>
      </c>
      <c r="F2" s="53" t="s">
        <v>6</v>
      </c>
      <c r="G2" s="53" t="s">
        <v>7</v>
      </c>
    </row>
    <row r="3" s="45" customFormat="1" ht="50" customHeight="1" spans="1:7">
      <c r="A3" s="54">
        <v>1</v>
      </c>
      <c r="B3" s="55" t="s">
        <v>801</v>
      </c>
      <c r="C3" s="56" t="s">
        <v>802</v>
      </c>
      <c r="D3" s="55" t="s">
        <v>16</v>
      </c>
      <c r="E3" s="55">
        <v>6</v>
      </c>
      <c r="F3" s="57" t="str">
        <f>_xlfn.DISPIMG("ID_ABE49645686946669AF83082D5FBFAF4",1)</f>
        <v>=DISPIMG("ID_ABE49645686946669AF83082D5FBFAF4",1)</v>
      </c>
      <c r="G3" s="58"/>
    </row>
    <row r="4" s="45" customFormat="1" ht="50" customHeight="1" spans="1:7">
      <c r="A4" s="54">
        <v>2</v>
      </c>
      <c r="B4" s="55" t="s">
        <v>803</v>
      </c>
      <c r="C4" s="56" t="s">
        <v>804</v>
      </c>
      <c r="D4" s="55" t="s">
        <v>13</v>
      </c>
      <c r="E4" s="55">
        <v>4</v>
      </c>
      <c r="F4" s="57" t="str">
        <f>_xlfn.DISPIMG("ID_3344C1337DAF4CAD909089779D35D454",1)</f>
        <v>=DISPIMG("ID_3344C1337DAF4CAD909089779D35D454",1)</v>
      </c>
      <c r="G4" s="58"/>
    </row>
    <row r="5" s="45" customFormat="1" ht="50" customHeight="1" spans="1:7">
      <c r="A5" s="54">
        <v>3</v>
      </c>
      <c r="B5" s="55" t="s">
        <v>805</v>
      </c>
      <c r="C5" s="56" t="s">
        <v>806</v>
      </c>
      <c r="D5" s="55" t="s">
        <v>13</v>
      </c>
      <c r="E5" s="55">
        <v>4</v>
      </c>
      <c r="F5" s="57" t="str">
        <f>_xlfn.DISPIMG("ID_7943E36541354753BBEAC4E9E5BE89E9",1)</f>
        <v>=DISPIMG("ID_7943E36541354753BBEAC4E9E5BE89E9",1)</v>
      </c>
      <c r="G5" s="58"/>
    </row>
    <row r="6" s="45" customFormat="1" ht="50" customHeight="1" spans="1:7">
      <c r="A6" s="54">
        <v>4</v>
      </c>
      <c r="B6" s="55" t="s">
        <v>807</v>
      </c>
      <c r="C6" s="56" t="s">
        <v>808</v>
      </c>
      <c r="D6" s="55" t="s">
        <v>16</v>
      </c>
      <c r="E6" s="55">
        <v>3</v>
      </c>
      <c r="F6" s="57" t="str">
        <f>_xlfn.DISPIMG("ID_EB79C5ADF32B4185B8E60437738C5506",1)</f>
        <v>=DISPIMG("ID_EB79C5ADF32B4185B8E60437738C5506",1)</v>
      </c>
      <c r="G6" s="58"/>
    </row>
    <row r="7" s="45" customFormat="1" ht="50" customHeight="1" spans="1:7">
      <c r="A7" s="54">
        <v>5</v>
      </c>
      <c r="B7" s="55" t="s">
        <v>809</v>
      </c>
      <c r="C7" s="56" t="s">
        <v>810</v>
      </c>
      <c r="D7" s="55" t="s">
        <v>13</v>
      </c>
      <c r="E7" s="55">
        <v>1</v>
      </c>
      <c r="F7" s="57" t="str">
        <f>_xlfn.DISPIMG("ID_E3E2B2430E0544CBBD3BDE3D9C3037BD",1)</f>
        <v>=DISPIMG("ID_E3E2B2430E0544CBBD3BDE3D9C3037BD",1)</v>
      </c>
      <c r="G7" s="58"/>
    </row>
    <row r="8" s="45" customFormat="1" ht="50" customHeight="1" spans="1:7">
      <c r="A8" s="54">
        <v>6</v>
      </c>
      <c r="B8" s="55" t="s">
        <v>811</v>
      </c>
      <c r="C8" s="59" t="s">
        <v>812</v>
      </c>
      <c r="D8" s="55" t="s">
        <v>311</v>
      </c>
      <c r="E8" s="55">
        <v>3</v>
      </c>
      <c r="F8" s="60" t="str">
        <f>_xlfn.DISPIMG("ID_11F49DBB3B9A42BEAEF4608CC697EF2A",1)</f>
        <v>=DISPIMG("ID_11F49DBB3B9A42BEAEF4608CC697EF2A",1)</v>
      </c>
      <c r="G8" s="58"/>
    </row>
    <row r="9" s="45" customFormat="1" ht="50" customHeight="1" spans="1:7">
      <c r="A9" s="54">
        <v>7</v>
      </c>
      <c r="B9" s="55" t="s">
        <v>811</v>
      </c>
      <c r="C9" s="59" t="s">
        <v>813</v>
      </c>
      <c r="D9" s="55" t="s">
        <v>311</v>
      </c>
      <c r="E9" s="55">
        <v>1</v>
      </c>
      <c r="F9" s="60"/>
      <c r="G9" s="58"/>
    </row>
    <row r="10" s="45" customFormat="1" ht="50" customHeight="1" spans="1:7">
      <c r="A10" s="54">
        <v>8</v>
      </c>
      <c r="B10" s="55" t="s">
        <v>811</v>
      </c>
      <c r="C10" s="59" t="s">
        <v>814</v>
      </c>
      <c r="D10" s="55" t="s">
        <v>311</v>
      </c>
      <c r="E10" s="55">
        <v>1</v>
      </c>
      <c r="F10" s="60"/>
      <c r="G10" s="58"/>
    </row>
    <row r="11" s="45" customFormat="1" ht="50" customHeight="1" spans="1:7">
      <c r="A11" s="54">
        <v>9</v>
      </c>
      <c r="B11" s="55" t="s">
        <v>811</v>
      </c>
      <c r="C11" s="59" t="s">
        <v>815</v>
      </c>
      <c r="D11" s="55" t="s">
        <v>311</v>
      </c>
      <c r="E11" s="55">
        <v>1</v>
      </c>
      <c r="F11" s="60"/>
      <c r="G11" s="58"/>
    </row>
    <row r="12" s="45" customFormat="1" ht="50" customHeight="1" spans="1:7">
      <c r="A12" s="54">
        <v>10</v>
      </c>
      <c r="B12" s="55" t="s">
        <v>816</v>
      </c>
      <c r="C12" s="56" t="s">
        <v>817</v>
      </c>
      <c r="D12" s="55" t="s">
        <v>622</v>
      </c>
      <c r="E12" s="55">
        <v>6</v>
      </c>
      <c r="F12" s="57" t="str">
        <f>_xlfn.DISPIMG("ID_B6DF843751B1483FBE705D696CFD3B92",1)</f>
        <v>=DISPIMG("ID_B6DF843751B1483FBE705D696CFD3B92",1)</v>
      </c>
      <c r="G12" s="58"/>
    </row>
    <row r="13" s="45" customFormat="1" ht="50" customHeight="1" spans="1:7">
      <c r="A13" s="54">
        <v>12</v>
      </c>
      <c r="B13" s="55" t="s">
        <v>818</v>
      </c>
      <c r="C13" s="56" t="s">
        <v>819</v>
      </c>
      <c r="D13" s="55" t="s">
        <v>16</v>
      </c>
      <c r="E13" s="55">
        <v>4</v>
      </c>
      <c r="F13" s="57" t="str">
        <f>_xlfn.DISPIMG("ID_915F028736DE4BE5A15E82C116941633",1)</f>
        <v>=DISPIMG("ID_915F028736DE4BE5A15E82C116941633",1)</v>
      </c>
      <c r="G13" s="58"/>
    </row>
    <row r="14" s="45" customFormat="1" ht="50" customHeight="1" spans="1:7">
      <c r="A14" s="54">
        <v>13</v>
      </c>
      <c r="B14" s="55" t="s">
        <v>820</v>
      </c>
      <c r="C14" s="56" t="s">
        <v>821</v>
      </c>
      <c r="D14" s="55" t="s">
        <v>323</v>
      </c>
      <c r="E14" s="55">
        <v>25</v>
      </c>
      <c r="F14" s="57" t="str">
        <f>_xlfn.DISPIMG("ID_51FB8C1D1795496BA1904B41B08EA40E",1)</f>
        <v>=DISPIMG("ID_51FB8C1D1795496BA1904B41B08EA40E",1)</v>
      </c>
      <c r="G14" s="58"/>
    </row>
    <row r="15" s="45" customFormat="1" ht="153" customHeight="1" spans="1:7">
      <c r="A15" s="54">
        <v>14</v>
      </c>
      <c r="B15" s="55" t="s">
        <v>822</v>
      </c>
      <c r="C15" s="56" t="s">
        <v>823</v>
      </c>
      <c r="D15" s="55" t="s">
        <v>700</v>
      </c>
      <c r="E15" s="55">
        <v>2</v>
      </c>
      <c r="F15" s="57" t="str">
        <f>_xlfn.DISPIMG("ID_88398F7789034EF9866150C0FDCF0EE0",1)</f>
        <v>=DISPIMG("ID_88398F7789034EF9866150C0FDCF0EE0",1)</v>
      </c>
      <c r="G15" s="58"/>
    </row>
    <row r="16" s="45" customFormat="1" ht="50" customHeight="1" spans="1:7">
      <c r="A16" s="54">
        <v>15</v>
      </c>
      <c r="B16" s="55" t="s">
        <v>824</v>
      </c>
      <c r="C16" s="56" t="s">
        <v>825</v>
      </c>
      <c r="D16" s="55" t="s">
        <v>622</v>
      </c>
      <c r="E16" s="55">
        <v>2</v>
      </c>
      <c r="F16" s="57" t="str">
        <f>_xlfn.DISPIMG("ID_EA8F8068097D4D919F2F8F85F4B0AD8E",1)</f>
        <v>=DISPIMG("ID_EA8F8068097D4D919F2F8F85F4B0AD8E",1)</v>
      </c>
      <c r="G16" s="58"/>
    </row>
    <row r="17" s="45" customFormat="1" ht="50" customHeight="1" spans="1:7">
      <c r="A17" s="54">
        <v>16</v>
      </c>
      <c r="B17" s="55" t="s">
        <v>826</v>
      </c>
      <c r="C17" s="56" t="s">
        <v>827</v>
      </c>
      <c r="D17" s="55" t="s">
        <v>323</v>
      </c>
      <c r="E17" s="55">
        <v>2</v>
      </c>
      <c r="F17" s="57" t="str">
        <f>_xlfn.DISPIMG("ID_D1E847D08DC04B49A986E898A9D0B427",1)</f>
        <v>=DISPIMG("ID_D1E847D08DC04B49A986E898A9D0B427",1)</v>
      </c>
      <c r="G17" s="58"/>
    </row>
    <row r="18" s="45" customFormat="1" ht="99" customHeight="1" spans="1:7">
      <c r="A18" s="54">
        <v>17</v>
      </c>
      <c r="B18" s="55" t="s">
        <v>828</v>
      </c>
      <c r="C18" s="56" t="s">
        <v>829</v>
      </c>
      <c r="D18" s="55" t="s">
        <v>700</v>
      </c>
      <c r="E18" s="55">
        <v>20</v>
      </c>
      <c r="F18" s="57" t="str">
        <f>_xlfn.DISPIMG("ID_11257A8166224FF8BC5047AF650F378E",1)</f>
        <v>=DISPIMG("ID_11257A8166224FF8BC5047AF650F378E",1)</v>
      </c>
      <c r="G18" s="58"/>
    </row>
    <row r="19" s="45" customFormat="1" ht="86" customHeight="1" spans="1:7">
      <c r="A19" s="54">
        <v>18</v>
      </c>
      <c r="B19" s="55" t="s">
        <v>830</v>
      </c>
      <c r="C19" s="56" t="s">
        <v>831</v>
      </c>
      <c r="D19" s="55" t="s">
        <v>700</v>
      </c>
      <c r="E19" s="55">
        <v>6</v>
      </c>
      <c r="F19" s="57" t="str">
        <f>_xlfn.DISPIMG("ID_B6FDEEBBD8714C68AAE01107C63C24D0",1)</f>
        <v>=DISPIMG("ID_B6FDEEBBD8714C68AAE01107C63C24D0",1)</v>
      </c>
      <c r="G19" s="58"/>
    </row>
    <row r="20" s="45" customFormat="1" ht="50" customHeight="1" spans="1:7">
      <c r="A20" s="54">
        <v>19</v>
      </c>
      <c r="B20" s="55" t="s">
        <v>832</v>
      </c>
      <c r="C20" s="56" t="s">
        <v>833</v>
      </c>
      <c r="D20" s="55" t="s">
        <v>53</v>
      </c>
      <c r="E20" s="55">
        <v>2</v>
      </c>
      <c r="F20" s="57" t="str">
        <f>_xlfn.DISPIMG("ID_77A66670CBBD40B9BF4BA48132031A72",1)</f>
        <v>=DISPIMG("ID_77A66670CBBD40B9BF4BA48132031A72",1)</v>
      </c>
      <c r="G20" s="58"/>
    </row>
    <row r="21" s="45" customFormat="1" ht="50" customHeight="1" spans="1:7">
      <c r="A21" s="54">
        <v>20</v>
      </c>
      <c r="B21" s="55" t="s">
        <v>834</v>
      </c>
      <c r="C21" s="56" t="s">
        <v>835</v>
      </c>
      <c r="D21" s="55" t="s">
        <v>836</v>
      </c>
      <c r="E21" s="55">
        <v>8</v>
      </c>
      <c r="F21" s="57" t="str">
        <f>_xlfn.DISPIMG("ID_6B6E9EA72ADE4FE9A456B99FCC78BCDA",1)</f>
        <v>=DISPIMG("ID_6B6E9EA72ADE4FE9A456B99FCC78BCDA",1)</v>
      </c>
      <c r="G21" s="58"/>
    </row>
    <row r="22" s="45" customFormat="1" ht="50" customHeight="1" spans="1:7">
      <c r="A22" s="54">
        <v>21</v>
      </c>
      <c r="B22" s="55" t="s">
        <v>837</v>
      </c>
      <c r="C22" s="56" t="s">
        <v>838</v>
      </c>
      <c r="D22" s="55" t="s">
        <v>16</v>
      </c>
      <c r="E22" s="55">
        <v>20</v>
      </c>
      <c r="F22" s="57" t="str">
        <f>_xlfn.DISPIMG("ID_EB6FEC19D69544AC9DF28B431E50429B",1)</f>
        <v>=DISPIMG("ID_EB6FEC19D69544AC9DF28B431E50429B",1)</v>
      </c>
      <c r="G22" s="58"/>
    </row>
    <row r="23" s="45" customFormat="1" ht="50" customHeight="1" spans="1:7">
      <c r="A23" s="54">
        <v>22</v>
      </c>
      <c r="B23" s="55" t="s">
        <v>839</v>
      </c>
      <c r="C23" s="56" t="s">
        <v>840</v>
      </c>
      <c r="D23" s="55" t="s">
        <v>16</v>
      </c>
      <c r="E23" s="55">
        <v>23</v>
      </c>
      <c r="F23" s="57" t="str">
        <f>_xlfn.DISPIMG("ID_EC1B6119E2ED4B85801331B428FF75E0",1)</f>
        <v>=DISPIMG("ID_EC1B6119E2ED4B85801331B428FF75E0",1)</v>
      </c>
      <c r="G23" s="58"/>
    </row>
    <row r="24" s="45" customFormat="1" ht="50" customHeight="1" spans="1:7">
      <c r="A24" s="54">
        <v>23</v>
      </c>
      <c r="B24" s="55" t="s">
        <v>841</v>
      </c>
      <c r="C24" s="56" t="s">
        <v>842</v>
      </c>
      <c r="D24" s="55" t="s">
        <v>16</v>
      </c>
      <c r="E24" s="55">
        <v>8</v>
      </c>
      <c r="F24" s="61" t="str">
        <f>_xlfn.DISPIMG("ID_B890145B88124C69847E579F2BF9F325",1)</f>
        <v>=DISPIMG("ID_B890145B88124C69847E579F2BF9F325",1)</v>
      </c>
      <c r="G24" s="58"/>
    </row>
    <row r="25" s="45" customFormat="1" ht="50" customHeight="1" spans="1:7">
      <c r="A25" s="54">
        <v>24</v>
      </c>
      <c r="B25" s="55" t="s">
        <v>843</v>
      </c>
      <c r="C25" s="56" t="s">
        <v>844</v>
      </c>
      <c r="D25" s="55" t="s">
        <v>16</v>
      </c>
      <c r="E25" s="55">
        <v>8</v>
      </c>
      <c r="F25" s="57" t="str">
        <f>_xlfn.DISPIMG("ID_FBCDD5BAB01D4AFD86FE62D12D1817DF",1)</f>
        <v>=DISPIMG("ID_FBCDD5BAB01D4AFD86FE62D12D1817DF",1)</v>
      </c>
      <c r="G25" s="58"/>
    </row>
    <row r="26" s="45" customFormat="1" ht="50" customHeight="1" spans="1:7">
      <c r="A26" s="54">
        <v>25</v>
      </c>
      <c r="B26" s="55" t="s">
        <v>845</v>
      </c>
      <c r="C26" s="56" t="s">
        <v>846</v>
      </c>
      <c r="D26" s="55" t="s">
        <v>16</v>
      </c>
      <c r="E26" s="55">
        <v>3</v>
      </c>
      <c r="F26" s="62" t="str">
        <f>_xlfn.DISPIMG("ID_3CBA1D199B0F4A4D93B8650CDC209379",1)</f>
        <v>=DISPIMG("ID_3CBA1D199B0F4A4D93B8650CDC209379",1)</v>
      </c>
      <c r="G26" s="58"/>
    </row>
    <row r="27" s="45" customFormat="1" ht="50" customHeight="1" spans="1:7">
      <c r="A27" s="54">
        <v>26</v>
      </c>
      <c r="B27" s="55" t="s">
        <v>847</v>
      </c>
      <c r="C27" s="56" t="s">
        <v>848</v>
      </c>
      <c r="D27" s="55" t="s">
        <v>16</v>
      </c>
      <c r="E27" s="55">
        <v>3</v>
      </c>
      <c r="F27" s="63"/>
      <c r="G27" s="58"/>
    </row>
    <row r="28" s="45" customFormat="1" ht="50" customHeight="1" spans="1:7">
      <c r="A28" s="54">
        <v>27</v>
      </c>
      <c r="B28" s="55" t="s">
        <v>849</v>
      </c>
      <c r="C28" s="56" t="s">
        <v>850</v>
      </c>
      <c r="D28" s="55" t="s">
        <v>323</v>
      </c>
      <c r="E28" s="55">
        <v>20</v>
      </c>
      <c r="F28" s="57" t="str">
        <f>_xlfn.DISPIMG("ID_AE728F704AC04F5A9418631EFE597C14",1)</f>
        <v>=DISPIMG("ID_AE728F704AC04F5A9418631EFE597C14",1)</v>
      </c>
      <c r="G28" s="58"/>
    </row>
    <row r="29" s="45" customFormat="1" ht="50" customHeight="1" spans="1:7">
      <c r="A29" s="54">
        <v>28</v>
      </c>
      <c r="B29" s="55" t="s">
        <v>851</v>
      </c>
      <c r="C29" s="56" t="s">
        <v>852</v>
      </c>
      <c r="D29" s="55" t="s">
        <v>622</v>
      </c>
      <c r="E29" s="55">
        <v>1</v>
      </c>
      <c r="F29" s="57" t="str">
        <f>_xlfn.DISPIMG("ID_DCDE573852DB44C882779D6FCD0FBBDE",1)</f>
        <v>=DISPIMG("ID_DCDE573852DB44C882779D6FCD0FBBDE",1)</v>
      </c>
      <c r="G29" s="58"/>
    </row>
    <row r="30" s="45" customFormat="1" ht="50" customHeight="1" spans="1:7">
      <c r="A30" s="54">
        <v>29</v>
      </c>
      <c r="B30" s="55" t="s">
        <v>853</v>
      </c>
      <c r="C30" s="56" t="s">
        <v>854</v>
      </c>
      <c r="D30" s="55" t="s">
        <v>16</v>
      </c>
      <c r="E30" s="55">
        <v>1</v>
      </c>
      <c r="F30" s="57" t="str">
        <f>_xlfn.DISPIMG("ID_A2DFEB4CC5144CDD95981EF692C4B57F",1)</f>
        <v>=DISPIMG("ID_A2DFEB4CC5144CDD95981EF692C4B57F",1)</v>
      </c>
      <c r="G30" s="58"/>
    </row>
    <row r="31" s="45" customFormat="1" ht="50" customHeight="1" spans="1:7">
      <c r="A31" s="54">
        <v>30</v>
      </c>
      <c r="B31" s="55" t="s">
        <v>855</v>
      </c>
      <c r="C31" s="56" t="s">
        <v>856</v>
      </c>
      <c r="D31" s="55" t="s">
        <v>700</v>
      </c>
      <c r="E31" s="55">
        <v>12</v>
      </c>
      <c r="F31" s="61" t="str">
        <f>_xlfn.DISPIMG("ID_652A46D59D56463494F02E1B89A5A2D4",1)</f>
        <v>=DISPIMG("ID_652A46D59D56463494F02E1B89A5A2D4",1)</v>
      </c>
      <c r="G31" s="58"/>
    </row>
    <row r="32" s="45" customFormat="1" ht="50" customHeight="1" spans="1:7">
      <c r="A32" s="54">
        <v>31</v>
      </c>
      <c r="B32" s="55" t="s">
        <v>857</v>
      </c>
      <c r="C32" s="56" t="s">
        <v>858</v>
      </c>
      <c r="D32" s="55" t="s">
        <v>53</v>
      </c>
      <c r="E32" s="55">
        <v>12</v>
      </c>
      <c r="F32" s="61" t="str">
        <f>_xlfn.DISPIMG("ID_DD792F0E136F42B08D85F61467D85CB1",1)</f>
        <v>=DISPIMG("ID_DD792F0E136F42B08D85F61467D85CB1",1)</v>
      </c>
      <c r="G32" s="58"/>
    </row>
    <row r="33" s="45" customFormat="1" ht="50" customHeight="1" spans="1:7">
      <c r="A33" s="54">
        <v>32</v>
      </c>
      <c r="B33" s="55" t="s">
        <v>859</v>
      </c>
      <c r="C33" s="56" t="s">
        <v>860</v>
      </c>
      <c r="D33" s="55" t="s">
        <v>53</v>
      </c>
      <c r="E33" s="55">
        <v>12</v>
      </c>
      <c r="F33" s="61" t="str">
        <f>_xlfn.DISPIMG("ID_E0BC0CE1B89941B784185C4B86E4D33C",1)</f>
        <v>=DISPIMG("ID_E0BC0CE1B89941B784185C4B86E4D33C",1)</v>
      </c>
      <c r="G33" s="58"/>
    </row>
    <row r="34" s="45" customFormat="1" ht="50" customHeight="1" spans="1:7">
      <c r="A34" s="54">
        <v>33</v>
      </c>
      <c r="B34" s="55" t="s">
        <v>861</v>
      </c>
      <c r="C34" s="56" t="s">
        <v>862</v>
      </c>
      <c r="D34" s="55" t="s">
        <v>53</v>
      </c>
      <c r="E34" s="55">
        <v>12</v>
      </c>
      <c r="F34" s="61" t="str">
        <f>_xlfn.DISPIMG("ID_D0B5DBC3823E4DB48CE71367A6C2A399",1)</f>
        <v>=DISPIMG("ID_D0B5DBC3823E4DB48CE71367A6C2A399",1)</v>
      </c>
      <c r="G34" s="58"/>
    </row>
    <row r="35" s="45" customFormat="1" ht="50" customHeight="1" spans="1:7">
      <c r="A35" s="54">
        <v>34</v>
      </c>
      <c r="B35" s="55" t="s">
        <v>863</v>
      </c>
      <c r="C35" s="56" t="s">
        <v>864</v>
      </c>
      <c r="D35" s="55" t="s">
        <v>16</v>
      </c>
      <c r="E35" s="55">
        <v>12</v>
      </c>
      <c r="F35" s="61" t="str">
        <f>_xlfn.DISPIMG("ID_B49D84AD6F9C4DF78C2FDF4BEF37084E",1)</f>
        <v>=DISPIMG("ID_B49D84AD6F9C4DF78C2FDF4BEF37084E",1)</v>
      </c>
      <c r="G35" s="58"/>
    </row>
    <row r="36" s="45" customFormat="1" ht="50" customHeight="1" spans="1:7">
      <c r="A36" s="54">
        <v>35</v>
      </c>
      <c r="B36" s="55" t="s">
        <v>865</v>
      </c>
      <c r="C36" s="56" t="s">
        <v>866</v>
      </c>
      <c r="D36" s="55" t="s">
        <v>16</v>
      </c>
      <c r="E36" s="55">
        <v>12</v>
      </c>
      <c r="F36" s="61" t="str">
        <f>_xlfn.DISPIMG("ID_C40F443D9A0F49908B38D7EA535FDD4B",1)</f>
        <v>=DISPIMG("ID_C40F443D9A0F49908B38D7EA535FDD4B",1)</v>
      </c>
      <c r="G36" s="58"/>
    </row>
    <row r="37" s="45" customFormat="1" ht="50" customHeight="1" spans="1:7">
      <c r="A37" s="54">
        <v>36</v>
      </c>
      <c r="B37" s="55" t="s">
        <v>867</v>
      </c>
      <c r="C37" s="56" t="s">
        <v>868</v>
      </c>
      <c r="D37" s="55" t="s">
        <v>16</v>
      </c>
      <c r="E37" s="55">
        <v>12</v>
      </c>
      <c r="F37" s="61" t="str">
        <f>_xlfn.DISPIMG("ID_1BD7B6F2BE6741BA95E0D3B2E0142024",1)</f>
        <v>=DISPIMG("ID_1BD7B6F2BE6741BA95E0D3B2E0142024",1)</v>
      </c>
      <c r="G37" s="58"/>
    </row>
    <row r="38" s="45" customFormat="1" ht="50" customHeight="1" spans="1:7">
      <c r="A38" s="54">
        <v>37</v>
      </c>
      <c r="B38" s="55" t="s">
        <v>869</v>
      </c>
      <c r="C38" s="56" t="s">
        <v>870</v>
      </c>
      <c r="D38" s="55" t="s">
        <v>16</v>
      </c>
      <c r="E38" s="55">
        <v>12</v>
      </c>
      <c r="F38" s="61" t="str">
        <f>_xlfn.DISPIMG("ID_70A6D2DB5D744AE6A22AA11E4594463A",1)</f>
        <v>=DISPIMG("ID_70A6D2DB5D744AE6A22AA11E4594463A",1)</v>
      </c>
      <c r="G38" s="58"/>
    </row>
    <row r="39" s="45" customFormat="1" ht="50" customHeight="1" spans="1:7">
      <c r="A39" s="54">
        <v>38</v>
      </c>
      <c r="B39" s="55" t="s">
        <v>871</v>
      </c>
      <c r="C39" s="56" t="s">
        <v>872</v>
      </c>
      <c r="D39" s="55" t="s">
        <v>16</v>
      </c>
      <c r="E39" s="54">
        <v>18</v>
      </c>
      <c r="F39" s="61" t="str">
        <f>_xlfn.DISPIMG("ID_3022F4A53A6942D38FE818553A1B3B2F",1)</f>
        <v>=DISPIMG("ID_3022F4A53A6942D38FE818553A1B3B2F",1)</v>
      </c>
      <c r="G39" s="58"/>
    </row>
    <row r="40" s="45" customFormat="1" ht="50" customHeight="1" spans="1:7">
      <c r="A40" s="54">
        <v>39</v>
      </c>
      <c r="B40" s="55" t="s">
        <v>873</v>
      </c>
      <c r="C40" s="56" t="s">
        <v>874</v>
      </c>
      <c r="D40" s="55" t="s">
        <v>16</v>
      </c>
      <c r="E40" s="54">
        <v>4</v>
      </c>
      <c r="F40" s="61" t="str">
        <f>_xlfn.DISPIMG("ID_1E829CB3137C4FE9881742948F7B69EB",1)</f>
        <v>=DISPIMG("ID_1E829CB3137C4FE9881742948F7B69EB",1)</v>
      </c>
      <c r="G40" s="58"/>
    </row>
    <row r="41" s="45" customFormat="1" ht="50" customHeight="1" spans="1:7">
      <c r="A41" s="54">
        <v>40</v>
      </c>
      <c r="B41" s="55" t="s">
        <v>875</v>
      </c>
      <c r="C41" s="56" t="s">
        <v>876</v>
      </c>
      <c r="D41" s="55" t="s">
        <v>16</v>
      </c>
      <c r="E41" s="54">
        <v>4</v>
      </c>
      <c r="F41" s="61" t="str">
        <f>_xlfn.DISPIMG("ID_0C636967886A42B8B1F9C69D1218D344",1)</f>
        <v>=DISPIMG("ID_0C636967886A42B8B1F9C69D1218D344",1)</v>
      </c>
      <c r="G41" s="58"/>
    </row>
    <row r="42" s="45" customFormat="1" ht="50" customHeight="1" spans="1:7">
      <c r="A42" s="54">
        <v>41</v>
      </c>
      <c r="B42" s="55" t="s">
        <v>877</v>
      </c>
      <c r="C42" s="56" t="s">
        <v>878</v>
      </c>
      <c r="D42" s="55" t="s">
        <v>10</v>
      </c>
      <c r="E42" s="54">
        <v>12</v>
      </c>
      <c r="F42" s="61" t="str">
        <f>_xlfn.DISPIMG("ID_F2C0E289A5234693985795AB7F0C0E66",1)</f>
        <v>=DISPIMG("ID_F2C0E289A5234693985795AB7F0C0E66",1)</v>
      </c>
      <c r="G42" s="58"/>
    </row>
    <row r="43" s="45" customFormat="1" ht="50" customHeight="1" spans="1:7">
      <c r="A43" s="54">
        <v>42</v>
      </c>
      <c r="B43" s="55" t="s">
        <v>879</v>
      </c>
      <c r="C43" s="56" t="s">
        <v>880</v>
      </c>
      <c r="D43" s="55" t="s">
        <v>622</v>
      </c>
      <c r="E43" s="55">
        <v>5</v>
      </c>
      <c r="F43" s="57" t="str">
        <f>_xlfn.DISPIMG("ID_7CDD8AE0F40444F3923AF0240BA9EB52",1)</f>
        <v>=DISPIMG("ID_7CDD8AE0F40444F3923AF0240BA9EB52",1)</v>
      </c>
      <c r="G43" s="58"/>
    </row>
    <row r="44" s="45" customFormat="1" ht="50" customHeight="1" spans="1:7">
      <c r="A44" s="54">
        <v>43</v>
      </c>
      <c r="B44" s="55" t="s">
        <v>881</v>
      </c>
      <c r="C44" s="56" t="s">
        <v>882</v>
      </c>
      <c r="D44" s="55" t="s">
        <v>13</v>
      </c>
      <c r="E44" s="55">
        <v>3</v>
      </c>
      <c r="F44" s="57" t="str">
        <f>_xlfn.DISPIMG("ID_153FFF891AA349938245238949B8AAE8",1)</f>
        <v>=DISPIMG("ID_153FFF891AA349938245238949B8AAE8",1)</v>
      </c>
      <c r="G44" s="58"/>
    </row>
    <row r="45" s="45" customFormat="1" ht="50" customHeight="1" spans="1:7">
      <c r="A45" s="54">
        <v>44</v>
      </c>
      <c r="B45" s="55" t="s">
        <v>883</v>
      </c>
      <c r="C45" s="56" t="s">
        <v>884</v>
      </c>
      <c r="D45" s="55" t="s">
        <v>13</v>
      </c>
      <c r="E45" s="55">
        <v>2</v>
      </c>
      <c r="F45" s="57" t="str">
        <f>_xlfn.DISPIMG("ID_A726EE6E1FFD4AC2AC174AEF62AA4943",1)</f>
        <v>=DISPIMG("ID_A726EE6E1FFD4AC2AC174AEF62AA4943",1)</v>
      </c>
      <c r="G45" s="58"/>
    </row>
    <row r="46" s="45" customFormat="1" ht="50" customHeight="1" spans="1:7">
      <c r="A46" s="54">
        <v>45</v>
      </c>
      <c r="B46" s="55" t="s">
        <v>885</v>
      </c>
      <c r="C46" s="56" t="s">
        <v>886</v>
      </c>
      <c r="D46" s="55" t="s">
        <v>622</v>
      </c>
      <c r="E46" s="55">
        <v>46</v>
      </c>
      <c r="F46" s="57" t="str">
        <f>_xlfn.DISPIMG("ID_5C593D9A9BB74E6EA5A47F77201C29ED",1)</f>
        <v>=DISPIMG("ID_5C593D9A9BB74E6EA5A47F77201C29ED",1)</v>
      </c>
      <c r="G46" s="58"/>
    </row>
    <row r="47" s="45" customFormat="1" ht="50" customHeight="1" spans="1:7">
      <c r="A47" s="54">
        <v>46</v>
      </c>
      <c r="B47" s="55" t="s">
        <v>887</v>
      </c>
      <c r="C47" s="56" t="s">
        <v>888</v>
      </c>
      <c r="D47" s="55" t="s">
        <v>622</v>
      </c>
      <c r="E47" s="55">
        <v>6</v>
      </c>
      <c r="F47" s="57" t="str">
        <f>_xlfn.DISPIMG("ID_8458F93131F84402AE7DBEA6DD99DF8D",1)</f>
        <v>=DISPIMG("ID_8458F93131F84402AE7DBEA6DD99DF8D",1)</v>
      </c>
      <c r="G47" s="58"/>
    </row>
    <row r="48" s="45" customFormat="1" ht="50" customHeight="1" spans="1:7">
      <c r="A48" s="54">
        <v>47</v>
      </c>
      <c r="B48" s="55" t="s">
        <v>889</v>
      </c>
      <c r="C48" s="56" t="s">
        <v>890</v>
      </c>
      <c r="D48" s="55" t="s">
        <v>323</v>
      </c>
      <c r="E48" s="55">
        <v>46</v>
      </c>
      <c r="F48" s="57" t="str">
        <f>_xlfn.DISPIMG("ID_C4686ACAE1CF4355BCCFBCFBE33B34C0",1)</f>
        <v>=DISPIMG("ID_C4686ACAE1CF4355BCCFBCFBE33B34C0",1)</v>
      </c>
      <c r="G48" s="58"/>
    </row>
    <row r="49" s="45" customFormat="1" ht="50" customHeight="1" spans="1:7">
      <c r="A49" s="54">
        <v>48</v>
      </c>
      <c r="B49" s="55" t="s">
        <v>891</v>
      </c>
      <c r="C49" s="56" t="s">
        <v>892</v>
      </c>
      <c r="D49" s="55" t="s">
        <v>71</v>
      </c>
      <c r="E49" s="55">
        <v>4</v>
      </c>
      <c r="F49" s="61" t="str">
        <f>_xlfn.DISPIMG("ID_A162D68F24ED447EB53FBA53AEF9E574",1)</f>
        <v>=DISPIMG("ID_A162D68F24ED447EB53FBA53AEF9E574",1)</v>
      </c>
      <c r="G49" s="58"/>
    </row>
    <row r="50" s="45" customFormat="1" ht="50" customHeight="1" spans="1:7">
      <c r="A50" s="54">
        <v>49</v>
      </c>
      <c r="B50" s="55" t="s">
        <v>893</v>
      </c>
      <c r="C50" s="64" t="s">
        <v>894</v>
      </c>
      <c r="D50" s="55" t="s">
        <v>622</v>
      </c>
      <c r="E50" s="55">
        <v>46</v>
      </c>
      <c r="F50" s="61" t="str">
        <f>_xlfn.DISPIMG("ID_3D915D0EEA0047ACAE06D956FF50A231",1)</f>
        <v>=DISPIMG("ID_3D915D0EEA0047ACAE06D956FF50A231",1)</v>
      </c>
      <c r="G50" s="58"/>
    </row>
    <row r="51" s="45" customFormat="1" ht="50" customHeight="1" spans="1:7">
      <c r="A51" s="54">
        <v>50</v>
      </c>
      <c r="B51" s="55" t="s">
        <v>895</v>
      </c>
      <c r="C51" s="64" t="s">
        <v>896</v>
      </c>
      <c r="D51" s="55" t="s">
        <v>76</v>
      </c>
      <c r="E51" s="55">
        <v>46</v>
      </c>
      <c r="F51" s="61" t="str">
        <f>_xlfn.DISPIMG("ID_68FF25D6802048A7B1A50EB277CE2623",1)</f>
        <v>=DISPIMG("ID_68FF25D6802048A7B1A50EB277CE2623",1)</v>
      </c>
      <c r="G51" s="58"/>
    </row>
    <row r="52" s="45" customFormat="1" ht="50" customHeight="1" spans="1:7">
      <c r="A52" s="54">
        <v>51</v>
      </c>
      <c r="B52" s="55" t="s">
        <v>897</v>
      </c>
      <c r="C52" s="56" t="s">
        <v>898</v>
      </c>
      <c r="D52" s="55" t="s">
        <v>16</v>
      </c>
      <c r="E52" s="55">
        <v>23</v>
      </c>
      <c r="F52" s="61" t="str">
        <f>_xlfn.DISPIMG("ID_2FA1FDA45FA94B0E99A237C435017C4E",1)</f>
        <v>=DISPIMG("ID_2FA1FDA45FA94B0E99A237C435017C4E",1)</v>
      </c>
      <c r="G52" s="58"/>
    </row>
    <row r="53" s="45" customFormat="1" ht="50" customHeight="1" spans="1:7">
      <c r="A53" s="54">
        <v>52</v>
      </c>
      <c r="B53" s="55" t="s">
        <v>899</v>
      </c>
      <c r="C53" s="56" t="s">
        <v>900</v>
      </c>
      <c r="D53" s="55" t="s">
        <v>16</v>
      </c>
      <c r="E53" s="55">
        <v>23</v>
      </c>
      <c r="F53" s="61" t="str">
        <f>_xlfn.DISPIMG("ID_7918D3D8AFA3480D8EF6CA0DADC77C88",1)</f>
        <v>=DISPIMG("ID_7918D3D8AFA3480D8EF6CA0DADC77C88",1)</v>
      </c>
      <c r="G53" s="58"/>
    </row>
    <row r="54" s="45" customFormat="1" ht="50" customHeight="1" spans="1:7">
      <c r="A54" s="54">
        <v>53</v>
      </c>
      <c r="B54" s="55" t="s">
        <v>901</v>
      </c>
      <c r="C54" s="56" t="s">
        <v>902</v>
      </c>
      <c r="D54" s="55" t="s">
        <v>323</v>
      </c>
      <c r="E54" s="55">
        <v>23</v>
      </c>
      <c r="F54" s="61" t="str">
        <f>_xlfn.DISPIMG("ID_FECCB5EC6D254C18824A15690E53D913",1)</f>
        <v>=DISPIMG("ID_FECCB5EC6D254C18824A15690E53D913",1)</v>
      </c>
      <c r="G54" s="58"/>
    </row>
    <row r="55" s="45" customFormat="1" ht="50" customHeight="1" spans="1:7">
      <c r="A55" s="54">
        <v>54</v>
      </c>
      <c r="B55" s="55" t="s">
        <v>903</v>
      </c>
      <c r="C55" s="56" t="s">
        <v>904</v>
      </c>
      <c r="D55" s="55" t="s">
        <v>323</v>
      </c>
      <c r="E55" s="55">
        <v>23</v>
      </c>
      <c r="F55" s="61" t="str">
        <f>_xlfn.DISPIMG("ID_2559134295084289A5BD0138F4F3E563",1)</f>
        <v>=DISPIMG("ID_2559134295084289A5BD0138F4F3E563",1)</v>
      </c>
      <c r="G55" s="58"/>
    </row>
    <row r="56" s="45" customFormat="1" ht="50" customHeight="1" spans="1:7">
      <c r="A56" s="54">
        <v>55</v>
      </c>
      <c r="B56" s="55" t="s">
        <v>905</v>
      </c>
      <c r="C56" s="56" t="s">
        <v>906</v>
      </c>
      <c r="D56" s="55" t="s">
        <v>76</v>
      </c>
      <c r="E56" s="55">
        <v>23</v>
      </c>
      <c r="F56" s="61" t="str">
        <f>_xlfn.DISPIMG("ID_A03647E6632847F3BBE1D192AC7037E4",1)</f>
        <v>=DISPIMG("ID_A03647E6632847F3BBE1D192AC7037E4",1)</v>
      </c>
      <c r="G56" s="58"/>
    </row>
    <row r="57" s="45" customFormat="1" ht="50" customHeight="1" spans="1:7">
      <c r="A57" s="54">
        <v>56</v>
      </c>
      <c r="B57" s="55" t="s">
        <v>907</v>
      </c>
      <c r="C57" s="56" t="s">
        <v>908</v>
      </c>
      <c r="D57" s="55" t="s">
        <v>16</v>
      </c>
      <c r="E57" s="55">
        <v>46</v>
      </c>
      <c r="F57" s="61" t="str">
        <f>_xlfn.DISPIMG("ID_FD7DB52A9BD74576BF0DB0B4D6B07AEE",1)</f>
        <v>=DISPIMG("ID_FD7DB52A9BD74576BF0DB0B4D6B07AEE",1)</v>
      </c>
      <c r="G57" s="58"/>
    </row>
    <row r="58" s="45" customFormat="1" ht="50" customHeight="1" spans="1:7">
      <c r="A58" s="54">
        <v>57</v>
      </c>
      <c r="B58" s="55" t="s">
        <v>909</v>
      </c>
      <c r="C58" s="56" t="s">
        <v>910</v>
      </c>
      <c r="D58" s="55" t="s">
        <v>16</v>
      </c>
      <c r="E58" s="55">
        <v>23</v>
      </c>
      <c r="F58" s="57" t="str">
        <f>_xlfn.DISPIMG("ID_BDB29088D2D14DD78C858E0C3E4D748F",1)</f>
        <v>=DISPIMG("ID_BDB29088D2D14DD78C858E0C3E4D748F",1)</v>
      </c>
      <c r="G58" s="58"/>
    </row>
    <row r="59" s="45" customFormat="1" ht="50" customHeight="1" spans="1:7">
      <c r="A59" s="54">
        <v>58</v>
      </c>
      <c r="B59" s="55" t="s">
        <v>911</v>
      </c>
      <c r="C59" s="56" t="s">
        <v>912</v>
      </c>
      <c r="D59" s="55" t="s">
        <v>700</v>
      </c>
      <c r="E59" s="55">
        <v>2</v>
      </c>
      <c r="F59" s="57" t="str">
        <f>_xlfn.DISPIMG("ID_677B5DB8BF944DA0B13FC75C77A5BA85",1)</f>
        <v>=DISPIMG("ID_677B5DB8BF944DA0B13FC75C77A5BA85",1)</v>
      </c>
      <c r="G59" s="58"/>
    </row>
    <row r="60" s="45" customFormat="1" ht="50" customHeight="1" spans="1:7">
      <c r="A60" s="54">
        <v>59</v>
      </c>
      <c r="B60" s="55" t="s">
        <v>913</v>
      </c>
      <c r="C60" s="56" t="s">
        <v>914</v>
      </c>
      <c r="D60" s="54" t="s">
        <v>700</v>
      </c>
      <c r="E60" s="55">
        <v>2</v>
      </c>
      <c r="F60" s="57" t="str">
        <f>_xlfn.DISPIMG("ID_68BD7C4459DD40918544E95D84458043",1)</f>
        <v>=DISPIMG("ID_68BD7C4459DD40918544E95D84458043",1)</v>
      </c>
      <c r="G60" s="58"/>
    </row>
    <row r="61" s="45" customFormat="1" ht="50" customHeight="1" spans="1:7">
      <c r="A61" s="54">
        <v>60</v>
      </c>
      <c r="B61" s="55" t="s">
        <v>915</v>
      </c>
      <c r="C61" s="59" t="s">
        <v>916</v>
      </c>
      <c r="D61" s="55" t="s">
        <v>16</v>
      </c>
      <c r="E61" s="55">
        <v>46</v>
      </c>
      <c r="F61" s="62" t="str">
        <f>_xlfn.DISPIMG("ID_E204CBC1FC3C45D188E66289F2A0A199",1)</f>
        <v>=DISPIMG("ID_E204CBC1FC3C45D188E66289F2A0A199",1)</v>
      </c>
      <c r="G61" s="58"/>
    </row>
    <row r="62" s="45" customFormat="1" ht="50" customHeight="1" spans="1:7">
      <c r="A62" s="54">
        <v>61</v>
      </c>
      <c r="B62" s="55" t="s">
        <v>917</v>
      </c>
      <c r="C62" s="56" t="s">
        <v>918</v>
      </c>
      <c r="D62" s="54" t="s">
        <v>16</v>
      </c>
      <c r="E62" s="55">
        <v>46</v>
      </c>
      <c r="F62" s="63"/>
      <c r="G62" s="58"/>
    </row>
    <row r="63" s="45" customFormat="1" ht="50" customHeight="1" spans="1:7">
      <c r="A63" s="54">
        <v>62</v>
      </c>
      <c r="B63" s="55" t="s">
        <v>919</v>
      </c>
      <c r="C63" s="56" t="s">
        <v>920</v>
      </c>
      <c r="D63" s="55" t="s">
        <v>16</v>
      </c>
      <c r="E63" s="55">
        <v>120</v>
      </c>
      <c r="F63" s="57" t="str">
        <f>_xlfn.DISPIMG("ID_EC8858B336B94E04800DD62B7BE49C38",1)</f>
        <v>=DISPIMG("ID_EC8858B336B94E04800DD62B7BE49C38",1)</v>
      </c>
      <c r="G63" s="58"/>
    </row>
    <row r="64" s="45" customFormat="1" ht="50" customHeight="1" spans="1:7">
      <c r="A64" s="54">
        <v>63</v>
      </c>
      <c r="B64" s="55" t="s">
        <v>921</v>
      </c>
      <c r="C64" s="56" t="s">
        <v>922</v>
      </c>
      <c r="D64" s="55" t="s">
        <v>700</v>
      </c>
      <c r="E64" s="55">
        <v>23</v>
      </c>
      <c r="F64" s="57" t="str">
        <f>_xlfn.DISPIMG("ID_167BC11229F24601831A5D34F2A928FE",1)</f>
        <v>=DISPIMG("ID_167BC11229F24601831A5D34F2A928FE",1)</v>
      </c>
      <c r="G64" s="58"/>
    </row>
    <row r="65" s="45" customFormat="1" ht="50" customHeight="1" spans="1:7">
      <c r="A65" s="54">
        <v>64</v>
      </c>
      <c r="B65" s="55" t="s">
        <v>923</v>
      </c>
      <c r="C65" s="56" t="s">
        <v>924</v>
      </c>
      <c r="D65" s="55" t="s">
        <v>71</v>
      </c>
      <c r="E65" s="55">
        <v>2</v>
      </c>
      <c r="F65" s="57" t="str">
        <f>_xlfn.DISPIMG("ID_24FAFF1A92484C54B2D0F698A977D3CC",1)</f>
        <v>=DISPIMG("ID_24FAFF1A92484C54B2D0F698A977D3CC",1)</v>
      </c>
      <c r="G65" s="58"/>
    </row>
    <row r="66" s="45" customFormat="1" ht="50" customHeight="1" spans="1:7">
      <c r="A66" s="54">
        <v>65</v>
      </c>
      <c r="B66" s="55" t="s">
        <v>925</v>
      </c>
      <c r="C66" s="56" t="s">
        <v>926</v>
      </c>
      <c r="D66" s="55" t="s">
        <v>16</v>
      </c>
      <c r="E66" s="55">
        <v>100</v>
      </c>
      <c r="F66" s="57" t="str">
        <f>_xlfn.DISPIMG("ID_57A70F22E78B4A8488B6B7CF28ABE2FF",1)</f>
        <v>=DISPIMG("ID_57A70F22E78B4A8488B6B7CF28ABE2FF",1)</v>
      </c>
      <c r="G66" s="58"/>
    </row>
    <row r="67" s="45" customFormat="1" ht="50" customHeight="1" spans="1:7">
      <c r="A67" s="54">
        <v>66</v>
      </c>
      <c r="B67" s="55" t="s">
        <v>927</v>
      </c>
      <c r="C67" s="56" t="s">
        <v>928</v>
      </c>
      <c r="D67" s="55" t="s">
        <v>700</v>
      </c>
      <c r="E67" s="55">
        <v>23</v>
      </c>
      <c r="F67" s="57" t="str">
        <f>_xlfn.DISPIMG("ID_93CCA33E6B92449197D8441A0CA6BFC7",1)</f>
        <v>=DISPIMG("ID_93CCA33E6B92449197D8441A0CA6BFC7",1)</v>
      </c>
      <c r="G67" s="58"/>
    </row>
    <row r="68" s="45" customFormat="1" ht="119" customHeight="1" spans="1:7">
      <c r="A68" s="54">
        <v>67</v>
      </c>
      <c r="B68" s="55" t="s">
        <v>929</v>
      </c>
      <c r="C68" s="56" t="s">
        <v>930</v>
      </c>
      <c r="D68" s="55" t="s">
        <v>700</v>
      </c>
      <c r="E68" s="55">
        <v>2</v>
      </c>
      <c r="F68" s="57" t="str">
        <f>_xlfn.DISPIMG("ID_9636253AF36D422EAD97EF33DB39373A",1)</f>
        <v>=DISPIMG("ID_9636253AF36D422EAD97EF33DB39373A",1)</v>
      </c>
      <c r="G68" s="58"/>
    </row>
    <row r="69" s="45" customFormat="1" ht="50" customHeight="1" spans="1:7">
      <c r="A69" s="54">
        <v>68</v>
      </c>
      <c r="B69" s="55" t="s">
        <v>931</v>
      </c>
      <c r="C69" s="56" t="s">
        <v>932</v>
      </c>
      <c r="D69" s="55" t="s">
        <v>700</v>
      </c>
      <c r="E69" s="55">
        <v>2</v>
      </c>
      <c r="F69" s="57" t="str">
        <f>_xlfn.DISPIMG("ID_049651748F224882A947A81A79448045",1)</f>
        <v>=DISPIMG("ID_049651748F224882A947A81A79448045",1)</v>
      </c>
      <c r="G69" s="58"/>
    </row>
    <row r="70" s="45" customFormat="1" ht="50" customHeight="1" spans="1:7">
      <c r="A70" s="54">
        <v>69</v>
      </c>
      <c r="B70" s="55" t="s">
        <v>933</v>
      </c>
      <c r="C70" s="59" t="s">
        <v>934</v>
      </c>
      <c r="D70" s="55" t="s">
        <v>16</v>
      </c>
      <c r="E70" s="55">
        <v>120</v>
      </c>
      <c r="F70" s="57" t="str">
        <f>_xlfn.DISPIMG("ID_3AD0191110F34A5CB851DDA8893A025A",1)</f>
        <v>=DISPIMG("ID_3AD0191110F34A5CB851DDA8893A025A",1)</v>
      </c>
      <c r="G70" s="58"/>
    </row>
    <row r="71" s="45" customFormat="1" ht="75" customHeight="1" spans="1:7">
      <c r="A71" s="54">
        <v>70</v>
      </c>
      <c r="B71" s="55" t="s">
        <v>935</v>
      </c>
      <c r="C71" s="59" t="s">
        <v>936</v>
      </c>
      <c r="D71" s="55" t="s">
        <v>700</v>
      </c>
      <c r="E71" s="55">
        <v>23</v>
      </c>
      <c r="F71" s="57" t="str">
        <f>_xlfn.DISPIMG("ID_ADA63BE315E84148B2B393286CC86378",1)</f>
        <v>=DISPIMG("ID_ADA63BE315E84148B2B393286CC86378",1)</v>
      </c>
      <c r="G71" s="58"/>
    </row>
    <row r="72" s="45" customFormat="1" ht="98" customHeight="1" spans="1:7">
      <c r="A72" s="54">
        <v>71</v>
      </c>
      <c r="B72" s="55" t="s">
        <v>937</v>
      </c>
      <c r="C72" s="59" t="s">
        <v>938</v>
      </c>
      <c r="D72" s="55" t="s">
        <v>700</v>
      </c>
      <c r="E72" s="55">
        <v>2</v>
      </c>
      <c r="F72" s="57" t="str">
        <f>_xlfn.DISPIMG("ID_74BA38B88CAB4375B2A1D8936BB82ACC",1)</f>
        <v>=DISPIMG("ID_74BA38B88CAB4375B2A1D8936BB82ACC",1)</v>
      </c>
      <c r="G72" s="58"/>
    </row>
    <row r="73" s="45" customFormat="1" ht="50" customHeight="1" spans="1:7">
      <c r="A73" s="54">
        <v>72</v>
      </c>
      <c r="B73" s="55" t="s">
        <v>939</v>
      </c>
      <c r="C73" s="56" t="s">
        <v>940</v>
      </c>
      <c r="D73" s="55" t="s">
        <v>16</v>
      </c>
      <c r="E73" s="55">
        <v>92</v>
      </c>
      <c r="F73" s="57" t="str">
        <f>_xlfn.DISPIMG("ID_A380DF13DEEE4876B8ECAEB325F631C9",1)</f>
        <v>=DISPIMG("ID_A380DF13DEEE4876B8ECAEB325F631C9",1)</v>
      </c>
      <c r="G73" s="58"/>
    </row>
    <row r="74" s="45" customFormat="1" ht="50" customHeight="1" spans="1:7">
      <c r="A74" s="54">
        <v>73</v>
      </c>
      <c r="B74" s="55" t="s">
        <v>941</v>
      </c>
      <c r="C74" s="56" t="s">
        <v>942</v>
      </c>
      <c r="D74" s="55" t="s">
        <v>700</v>
      </c>
      <c r="E74" s="55">
        <v>23</v>
      </c>
      <c r="F74" s="57" t="str">
        <f>_xlfn.DISPIMG("ID_2A4322864EC34F35929DFAD2F929D4EF",1)</f>
        <v>=DISPIMG("ID_2A4322864EC34F35929DFAD2F929D4EF",1)</v>
      </c>
      <c r="G74" s="58"/>
    </row>
    <row r="75" s="45" customFormat="1" ht="50" customHeight="1" spans="1:7">
      <c r="A75" s="54">
        <v>74</v>
      </c>
      <c r="B75" s="55" t="s">
        <v>943</v>
      </c>
      <c r="C75" s="56" t="s">
        <v>944</v>
      </c>
      <c r="D75" s="55" t="s">
        <v>16</v>
      </c>
      <c r="E75" s="55">
        <v>46</v>
      </c>
      <c r="F75" s="65" t="str">
        <f>_xlfn.DISPIMG("ID_EB905321431C4196A76C08F328592D46",1)</f>
        <v>=DISPIMG("ID_EB905321431C4196A76C08F328592D46",1)</v>
      </c>
      <c r="G75" s="58"/>
    </row>
    <row r="76" s="45" customFormat="1" ht="50" customHeight="1" spans="1:7">
      <c r="A76" s="54">
        <v>75</v>
      </c>
      <c r="B76" s="55" t="s">
        <v>945</v>
      </c>
      <c r="C76" s="56" t="s">
        <v>946</v>
      </c>
      <c r="D76" s="54" t="s">
        <v>16</v>
      </c>
      <c r="E76" s="55">
        <v>23</v>
      </c>
      <c r="F76" s="57" t="str">
        <f>_xlfn.DISPIMG("ID_71219FE6B03B410DBF0FF3DD9623992C",1)</f>
        <v>=DISPIMG("ID_71219FE6B03B410DBF0FF3DD9623992C",1)</v>
      </c>
      <c r="G76" s="58"/>
    </row>
    <row r="77" s="45" customFormat="1" ht="50" customHeight="1" spans="1:7">
      <c r="A77" s="54">
        <v>76</v>
      </c>
      <c r="B77" s="55" t="s">
        <v>947</v>
      </c>
      <c r="C77" s="56" t="s">
        <v>948</v>
      </c>
      <c r="D77" s="54" t="s">
        <v>949</v>
      </c>
      <c r="E77" s="54">
        <v>6</v>
      </c>
      <c r="F77" s="57" t="str">
        <f>_xlfn.DISPIMG("ID_939A9237F86445E5A98FFC8119414566",1)</f>
        <v>=DISPIMG("ID_939A9237F86445E5A98FFC8119414566",1)</v>
      </c>
      <c r="G77" s="58"/>
    </row>
    <row r="78" s="45" customFormat="1" ht="50" customHeight="1" spans="1:7">
      <c r="A78" s="54">
        <v>77</v>
      </c>
      <c r="B78" s="55" t="s">
        <v>950</v>
      </c>
      <c r="C78" s="56" t="s">
        <v>951</v>
      </c>
      <c r="D78" s="55" t="s">
        <v>323</v>
      </c>
      <c r="E78" s="55">
        <v>23</v>
      </c>
      <c r="F78" s="57" t="str">
        <f>_xlfn.DISPIMG("ID_DE7C3294949A4CE3A433F6F068E26BB8",1)</f>
        <v>=DISPIMG("ID_DE7C3294949A4CE3A433F6F068E26BB8",1)</v>
      </c>
      <c r="G78" s="58"/>
    </row>
    <row r="79" s="45" customFormat="1" ht="50" customHeight="1" spans="1:7">
      <c r="A79" s="54">
        <v>78</v>
      </c>
      <c r="B79" s="55" t="s">
        <v>952</v>
      </c>
      <c r="C79" s="56" t="s">
        <v>953</v>
      </c>
      <c r="D79" s="55" t="s">
        <v>58</v>
      </c>
      <c r="E79" s="55">
        <v>23</v>
      </c>
      <c r="F79" s="61" t="str">
        <f>_xlfn.DISPIMG("ID_F3E6065E4A0D48E4AC314E9216E012B4",1)</f>
        <v>=DISPIMG("ID_F3E6065E4A0D48E4AC314E9216E012B4",1)</v>
      </c>
      <c r="G79" s="58"/>
    </row>
    <row r="80" s="45" customFormat="1" ht="50" customHeight="1" spans="1:7">
      <c r="A80" s="54">
        <v>79</v>
      </c>
      <c r="B80" s="55" t="s">
        <v>705</v>
      </c>
      <c r="C80" s="56" t="s">
        <v>954</v>
      </c>
      <c r="D80" s="55" t="s">
        <v>58</v>
      </c>
      <c r="E80" s="55">
        <v>23</v>
      </c>
      <c r="F80" s="57" t="str">
        <f>_xlfn.DISPIMG("ID_30447D7E9D3A49719FE43AE997FDFBD6",1)</f>
        <v>=DISPIMG("ID_30447D7E9D3A49719FE43AE997FDFBD6",1)</v>
      </c>
      <c r="G80" s="58"/>
    </row>
    <row r="81" s="45" customFormat="1" ht="50" customHeight="1" spans="1:7">
      <c r="A81" s="54">
        <v>80</v>
      </c>
      <c r="B81" s="55" t="s">
        <v>955</v>
      </c>
      <c r="C81" s="56" t="s">
        <v>956</v>
      </c>
      <c r="D81" s="55" t="s">
        <v>323</v>
      </c>
      <c r="E81" s="55">
        <v>184</v>
      </c>
      <c r="F81" s="57" t="str">
        <f>_xlfn.DISPIMG("ID_166296E0F1FF41C7BA3D02DDD0A7D6BF",1)</f>
        <v>=DISPIMG("ID_166296E0F1FF41C7BA3D02DDD0A7D6BF",1)</v>
      </c>
      <c r="G81" s="58"/>
    </row>
    <row r="82" s="45" customFormat="1" ht="50" customHeight="1" spans="1:7">
      <c r="A82" s="54">
        <v>81</v>
      </c>
      <c r="B82" s="55" t="s">
        <v>955</v>
      </c>
      <c r="C82" s="56" t="s">
        <v>957</v>
      </c>
      <c r="D82" s="55" t="s">
        <v>323</v>
      </c>
      <c r="E82" s="55">
        <v>48</v>
      </c>
      <c r="F82" s="57" t="str">
        <f>_xlfn.DISPIMG("ID_DD70A384A09D4E748F0014DC7A6BA640",1)</f>
        <v>=DISPIMG("ID_DD70A384A09D4E748F0014DC7A6BA640",1)</v>
      </c>
      <c r="G82" s="58"/>
    </row>
    <row r="83" s="45" customFormat="1" ht="50" customHeight="1" spans="1:7">
      <c r="A83" s="54">
        <v>82</v>
      </c>
      <c r="B83" s="55" t="s">
        <v>958</v>
      </c>
      <c r="C83" s="56" t="s">
        <v>959</v>
      </c>
      <c r="D83" s="55" t="s">
        <v>323</v>
      </c>
      <c r="E83" s="55">
        <v>3</v>
      </c>
      <c r="F83" s="57" t="str">
        <f>_xlfn.DISPIMG("ID_9BB05EDFE52D4C888A869D3D04835AAE",1)</f>
        <v>=DISPIMG("ID_9BB05EDFE52D4C888A869D3D04835AAE",1)</v>
      </c>
      <c r="G83" s="58"/>
    </row>
    <row r="84" s="45" customFormat="1" ht="50" customHeight="1" spans="1:7">
      <c r="A84" s="54">
        <v>83</v>
      </c>
      <c r="B84" s="55" t="s">
        <v>960</v>
      </c>
      <c r="C84" s="56" t="s">
        <v>961</v>
      </c>
      <c r="D84" s="55" t="s">
        <v>16</v>
      </c>
      <c r="E84" s="55">
        <v>46</v>
      </c>
      <c r="F84" s="61" t="str">
        <f>_xlfn.DISPIMG("ID_AB1C7E3623D6462D89FC11F10FD094C5",1)</f>
        <v>=DISPIMG("ID_AB1C7E3623D6462D89FC11F10FD094C5",1)</v>
      </c>
      <c r="G84" s="58"/>
    </row>
    <row r="85" s="45" customFormat="1" ht="50" customHeight="1" spans="1:7">
      <c r="A85" s="54">
        <v>84</v>
      </c>
      <c r="B85" s="55" t="s">
        <v>962</v>
      </c>
      <c r="C85" s="56" t="s">
        <v>963</v>
      </c>
      <c r="D85" s="55" t="s">
        <v>299</v>
      </c>
      <c r="E85" s="55">
        <v>46</v>
      </c>
      <c r="F85" s="61" t="str">
        <f>_xlfn.DISPIMG("ID_4432C3043F1C42B08E5B1E26897B994F",1)</f>
        <v>=DISPIMG("ID_4432C3043F1C42B08E5B1E26897B994F",1)</v>
      </c>
      <c r="G85" s="58"/>
    </row>
    <row r="86" s="45" customFormat="1" ht="50" customHeight="1" spans="1:7">
      <c r="A86" s="54">
        <v>85</v>
      </c>
      <c r="B86" s="55" t="s">
        <v>964</v>
      </c>
      <c r="C86" s="56" t="s">
        <v>965</v>
      </c>
      <c r="D86" s="55" t="s">
        <v>10</v>
      </c>
      <c r="E86" s="55">
        <v>46</v>
      </c>
      <c r="F86" s="61" t="str">
        <f>_xlfn.DISPIMG("ID_828C50459CCB44CF888D6C5D1A3B1817",1)</f>
        <v>=DISPIMG("ID_828C50459CCB44CF888D6C5D1A3B1817",1)</v>
      </c>
      <c r="G86" s="58"/>
    </row>
    <row r="87" s="45" customFormat="1" ht="50" customHeight="1" spans="1:7">
      <c r="A87" s="54">
        <v>86</v>
      </c>
      <c r="B87" s="55" t="s">
        <v>966</v>
      </c>
      <c r="C87" s="56" t="s">
        <v>967</v>
      </c>
      <c r="D87" s="55" t="s">
        <v>10</v>
      </c>
      <c r="E87" s="55">
        <v>46</v>
      </c>
      <c r="F87" s="61" t="str">
        <f>_xlfn.DISPIMG("ID_7C7584348B0C4EDD9E45E9E3BAD27D31",1)</f>
        <v>=DISPIMG("ID_7C7584348B0C4EDD9E45E9E3BAD27D31",1)</v>
      </c>
      <c r="G87" s="58"/>
    </row>
    <row r="88" s="45" customFormat="1" ht="50" customHeight="1" spans="1:7">
      <c r="A88" s="54">
        <v>87</v>
      </c>
      <c r="B88" s="55" t="s">
        <v>968</v>
      </c>
      <c r="C88" s="56" t="s">
        <v>969</v>
      </c>
      <c r="D88" s="55" t="s">
        <v>10</v>
      </c>
      <c r="E88" s="55">
        <v>46</v>
      </c>
      <c r="F88" s="61" t="str">
        <f>_xlfn.DISPIMG("ID_5683E843BBCE46A7A62029EDEBFF1A37",1)</f>
        <v>=DISPIMG("ID_5683E843BBCE46A7A62029EDEBFF1A37",1)</v>
      </c>
      <c r="G88" s="58"/>
    </row>
    <row r="89" s="45" customFormat="1" ht="50" customHeight="1" spans="1:7">
      <c r="A89" s="54">
        <v>88</v>
      </c>
      <c r="B89" s="55" t="s">
        <v>970</v>
      </c>
      <c r="C89" s="56" t="s">
        <v>971</v>
      </c>
      <c r="D89" s="55" t="s">
        <v>16</v>
      </c>
      <c r="E89" s="55">
        <v>23</v>
      </c>
      <c r="F89" s="57" t="str">
        <f>_xlfn.DISPIMG("ID_AFEF4F59D171483C85C64EF5C467EC15",1)</f>
        <v>=DISPIMG("ID_AFEF4F59D171483C85C64EF5C467EC15",1)</v>
      </c>
      <c r="G89" s="58"/>
    </row>
    <row r="90" s="45" customFormat="1" ht="50" customHeight="1" spans="1:7">
      <c r="A90" s="54">
        <v>89</v>
      </c>
      <c r="B90" s="55" t="s">
        <v>972</v>
      </c>
      <c r="C90" s="56" t="s">
        <v>973</v>
      </c>
      <c r="D90" s="55" t="s">
        <v>76</v>
      </c>
      <c r="E90" s="55">
        <v>12</v>
      </c>
      <c r="F90" s="57" t="str">
        <f>_xlfn.DISPIMG("ID_76C218783EFE45ACB7D040A972BFAC64",1)</f>
        <v>=DISPIMG("ID_76C218783EFE45ACB7D040A972BFAC64",1)</v>
      </c>
      <c r="G90" s="58"/>
    </row>
    <row r="91" s="45" customFormat="1" ht="50" customHeight="1" spans="1:7">
      <c r="A91" s="54">
        <v>90</v>
      </c>
      <c r="B91" s="55" t="s">
        <v>974</v>
      </c>
      <c r="C91" s="56" t="s">
        <v>975</v>
      </c>
      <c r="D91" s="55" t="s">
        <v>700</v>
      </c>
      <c r="E91" s="55">
        <v>46</v>
      </c>
      <c r="F91" s="61" t="str">
        <f>_xlfn.DISPIMG("ID_556EEAF625244630A3BB7BBABAF7519A",1)</f>
        <v>=DISPIMG("ID_556EEAF625244630A3BB7BBABAF7519A",1)</v>
      </c>
      <c r="G91" s="58"/>
    </row>
    <row r="92" s="45" customFormat="1" ht="50" customHeight="1" spans="1:7">
      <c r="A92" s="54">
        <v>91</v>
      </c>
      <c r="B92" s="55" t="s">
        <v>976</v>
      </c>
      <c r="C92" s="56" t="s">
        <v>977</v>
      </c>
      <c r="D92" s="55" t="s">
        <v>10</v>
      </c>
      <c r="E92" s="55">
        <v>1</v>
      </c>
      <c r="F92" s="57" t="str">
        <f>_xlfn.DISPIMG("ID_B179B5ABDF30496CA2F76A7C22603972",1)</f>
        <v>=DISPIMG("ID_B179B5ABDF30496CA2F76A7C22603972",1)</v>
      </c>
      <c r="G92" s="58"/>
    </row>
    <row r="93" s="45" customFormat="1" ht="50" customHeight="1" spans="1:7">
      <c r="A93" s="54">
        <v>92</v>
      </c>
      <c r="B93" s="55" t="s">
        <v>978</v>
      </c>
      <c r="C93" s="56" t="s">
        <v>979</v>
      </c>
      <c r="D93" s="55" t="s">
        <v>10</v>
      </c>
      <c r="E93" s="55">
        <v>1</v>
      </c>
      <c r="F93" s="57" t="str">
        <f>_xlfn.DISPIMG("ID_480335A419504D2A918A76D2E02FA33E",1)</f>
        <v>=DISPIMG("ID_480335A419504D2A918A76D2E02FA33E",1)</v>
      </c>
      <c r="G93" s="58"/>
    </row>
    <row r="94" s="45" customFormat="1" ht="50" customHeight="1" spans="1:7">
      <c r="A94" s="54">
        <v>93</v>
      </c>
      <c r="B94" s="55" t="s">
        <v>980</v>
      </c>
      <c r="C94" s="56" t="s">
        <v>981</v>
      </c>
      <c r="D94" s="55" t="s">
        <v>10</v>
      </c>
      <c r="E94" s="55">
        <v>1</v>
      </c>
      <c r="F94" s="62" t="str">
        <f>_xlfn.DISPIMG("ID_8BD1DA4E95874461AE19C574DD380490",1)</f>
        <v>=DISPIMG("ID_8BD1DA4E95874461AE19C574DD380490",1)</v>
      </c>
      <c r="G94" s="58"/>
    </row>
    <row r="95" s="45" customFormat="1" ht="50" customHeight="1" spans="1:7">
      <c r="A95" s="54">
        <v>94</v>
      </c>
      <c r="B95" s="55" t="s">
        <v>982</v>
      </c>
      <c r="C95" s="56" t="s">
        <v>981</v>
      </c>
      <c r="D95" s="55" t="s">
        <v>10</v>
      </c>
      <c r="E95" s="55">
        <v>1</v>
      </c>
      <c r="F95" s="63"/>
      <c r="G95" s="58"/>
    </row>
    <row r="96" s="45" customFormat="1" ht="50" customHeight="1" spans="1:7">
      <c r="A96" s="54">
        <v>95</v>
      </c>
      <c r="B96" s="55" t="s">
        <v>983</v>
      </c>
      <c r="C96" s="56" t="s">
        <v>981</v>
      </c>
      <c r="D96" s="55" t="s">
        <v>984</v>
      </c>
      <c r="E96" s="55">
        <v>1</v>
      </c>
      <c r="F96" s="61" t="str">
        <f>_xlfn.DISPIMG("ID_B1A86A4706924B42BDD1E90E4B6DBEC5",1)</f>
        <v>=DISPIMG("ID_B1A86A4706924B42BDD1E90E4B6DBEC5",1)</v>
      </c>
      <c r="G96" s="58"/>
    </row>
  </sheetData>
  <mergeCells count="5">
    <mergeCell ref="A1:G1"/>
    <mergeCell ref="F8:F11"/>
    <mergeCell ref="F26:F27"/>
    <mergeCell ref="F61:F62"/>
    <mergeCell ref="F94:F95"/>
  </mergeCells>
  <pageMargins left="0.75" right="0.75" top="1" bottom="1" header="0.5" footer="0.5"/>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zoomScale="115" zoomScaleNormal="115" topLeftCell="A15" workbookViewId="0">
      <selection activeCell="E4" sqref="E4"/>
    </sheetView>
  </sheetViews>
  <sheetFormatPr defaultColWidth="9" defaultRowHeight="13.5"/>
  <cols>
    <col min="1" max="1" width="5.63333333333333" style="1" customWidth="1"/>
    <col min="2" max="2" width="12.025" style="1" customWidth="1"/>
    <col min="3" max="3" width="14" style="1" customWidth="1"/>
    <col min="4" max="4" width="11.5083333333333" style="1" customWidth="1"/>
    <col min="5" max="5" width="100.866666666667" style="1" customWidth="1"/>
    <col min="6" max="6" width="5.5" style="1" customWidth="1"/>
    <col min="7" max="7" width="5.13333333333333" style="1" customWidth="1"/>
    <col min="8" max="8" width="20.25" style="1" customWidth="1"/>
    <col min="9" max="9" width="14.025" style="1" customWidth="1"/>
    <col min="10" max="16384" width="9" style="1"/>
  </cols>
  <sheetData>
    <row r="1" ht="24" customHeight="1" spans="1:8">
      <c r="A1" s="2" t="s">
        <v>985</v>
      </c>
      <c r="B1" s="2"/>
      <c r="C1" s="2"/>
      <c r="D1" s="2"/>
      <c r="E1" s="2"/>
      <c r="F1" s="2"/>
      <c r="G1" s="2"/>
      <c r="H1" s="2"/>
    </row>
    <row r="2" ht="25" customHeight="1" spans="1:8">
      <c r="A2" s="3" t="s">
        <v>1</v>
      </c>
      <c r="B2" s="4" t="s">
        <v>2</v>
      </c>
      <c r="C2" s="4" t="s">
        <v>986</v>
      </c>
      <c r="D2" s="4" t="s">
        <v>987</v>
      </c>
      <c r="E2" s="4" t="s">
        <v>222</v>
      </c>
      <c r="F2" s="4" t="s">
        <v>4</v>
      </c>
      <c r="G2" s="4" t="s">
        <v>5</v>
      </c>
      <c r="H2" s="4" t="s">
        <v>7</v>
      </c>
    </row>
    <row r="3" ht="408" customHeight="1" spans="1:8">
      <c r="A3" s="5">
        <v>1</v>
      </c>
      <c r="B3" s="5" t="s">
        <v>988</v>
      </c>
      <c r="C3" s="6" t="str">
        <f>_xlfn.DISPIMG("ID_200D646B95994C4A95A2B90666E45069",1)</f>
        <v>=DISPIMG("ID_200D646B95994C4A95A2B90666E45069",1)</v>
      </c>
      <c r="D3" s="7" t="s">
        <v>989</v>
      </c>
      <c r="E3" s="6" t="s">
        <v>990</v>
      </c>
      <c r="F3" s="8">
        <v>6300</v>
      </c>
      <c r="G3" s="5" t="s">
        <v>10</v>
      </c>
      <c r="H3" s="9" t="s">
        <v>991</v>
      </c>
    </row>
    <row r="4" ht="72" customHeight="1" spans="1:8">
      <c r="A4" s="5">
        <v>2</v>
      </c>
      <c r="B4" s="5" t="s">
        <v>992</v>
      </c>
      <c r="C4" s="5" t="str">
        <f>_xlfn.DISPIMG("ID_B22800FB9B824125B23C5895E5D7EC69",1)</f>
        <v>=DISPIMG("ID_B22800FB9B824125B23C5895E5D7EC69",1)</v>
      </c>
      <c r="D4" s="7" t="s">
        <v>993</v>
      </c>
      <c r="E4" s="10" t="s">
        <v>994</v>
      </c>
      <c r="F4" s="5">
        <v>1000</v>
      </c>
      <c r="G4" s="5" t="s">
        <v>10</v>
      </c>
      <c r="H4" s="11" t="s">
        <v>995</v>
      </c>
    </row>
    <row r="5" ht="62" customHeight="1" spans="1:8">
      <c r="A5" s="12">
        <v>3</v>
      </c>
      <c r="B5" s="13" t="s">
        <v>996</v>
      </c>
      <c r="C5" s="14" t="str">
        <f>_xlfn.DISPIMG("ID_6D8AB5F577ED41149546317942BADCB8",1)</f>
        <v>=DISPIMG("ID_6D8AB5F577ED41149546317942BADCB8",1)</v>
      </c>
      <c r="D5" s="15" t="s">
        <v>997</v>
      </c>
      <c r="E5" s="10" t="s">
        <v>998</v>
      </c>
      <c r="F5" s="5">
        <v>96</v>
      </c>
      <c r="G5" s="16" t="s">
        <v>13</v>
      </c>
      <c r="H5" s="17" t="s">
        <v>999</v>
      </c>
    </row>
    <row r="6" ht="23" customHeight="1" spans="1:8">
      <c r="A6" s="18"/>
      <c r="B6" s="19"/>
      <c r="C6" s="18"/>
      <c r="D6" s="15" t="s">
        <v>1000</v>
      </c>
      <c r="E6" s="20" t="s">
        <v>1001</v>
      </c>
      <c r="F6" s="21">
        <v>96</v>
      </c>
      <c r="G6" s="22" t="s">
        <v>13</v>
      </c>
      <c r="H6" s="23"/>
    </row>
    <row r="7" ht="236" customHeight="1" spans="1:9">
      <c r="A7" s="5">
        <v>4</v>
      </c>
      <c r="B7" s="8" t="s">
        <v>1002</v>
      </c>
      <c r="C7" s="24" t="str">
        <f>_xlfn.DISPIMG("ID_77F43921F862402CAE79D187551E92C3",1)</f>
        <v>=DISPIMG("ID_77F43921F862402CAE79D187551E92C3",1)</v>
      </c>
      <c r="D7" s="25" t="s">
        <v>1003</v>
      </c>
      <c r="E7" s="26" t="s">
        <v>1004</v>
      </c>
      <c r="F7" s="27">
        <v>136</v>
      </c>
      <c r="G7" s="28" t="s">
        <v>13</v>
      </c>
      <c r="H7" s="9" t="s">
        <v>1005</v>
      </c>
      <c r="I7" s="44"/>
    </row>
    <row r="8" s="1" customFormat="1" ht="224" customHeight="1" spans="1:9">
      <c r="A8" s="5">
        <v>5</v>
      </c>
      <c r="B8" s="8" t="s">
        <v>1006</v>
      </c>
      <c r="C8" s="29" t="str">
        <f>_xlfn.DISPIMG("ID_95704AC682AD4D078AA3F4C26D31D96E",1)</f>
        <v>=DISPIMG("ID_95704AC682AD4D078AA3F4C26D31D96E",1)</v>
      </c>
      <c r="D8" s="30" t="s">
        <v>1007</v>
      </c>
      <c r="E8" s="31" t="s">
        <v>1008</v>
      </c>
      <c r="F8" s="27">
        <v>6</v>
      </c>
      <c r="G8" s="28" t="s">
        <v>13</v>
      </c>
      <c r="H8" s="32" t="s">
        <v>1009</v>
      </c>
      <c r="I8" s="44"/>
    </row>
    <row r="9" ht="51" customHeight="1" spans="1:8">
      <c r="A9" s="5">
        <v>6</v>
      </c>
      <c r="B9" s="5" t="s">
        <v>1010</v>
      </c>
      <c r="C9" s="5" t="str">
        <f>_xlfn.DISPIMG("ID_2561BA486FF3432FAC84571532483C7F",1)</f>
        <v>=DISPIMG("ID_2561BA486FF3432FAC84571532483C7F",1)</v>
      </c>
      <c r="D9" s="33" t="s">
        <v>1011</v>
      </c>
      <c r="E9" s="34" t="s">
        <v>1012</v>
      </c>
      <c r="F9" s="5">
        <v>60</v>
      </c>
      <c r="G9" s="5" t="s">
        <v>622</v>
      </c>
      <c r="H9" s="11" t="s">
        <v>1013</v>
      </c>
    </row>
    <row r="10" ht="134" customHeight="1" spans="1:8">
      <c r="A10" s="5">
        <v>7</v>
      </c>
      <c r="B10" s="8" t="s">
        <v>1014</v>
      </c>
      <c r="C10" s="35" t="str">
        <f>_xlfn.DISPIMG("ID_FE16B249F0C045EB8AC3B072460D54AC",1)</f>
        <v>=DISPIMG("ID_FE16B249F0C045EB8AC3B072460D54AC",1)</v>
      </c>
      <c r="D10" s="36" t="s">
        <v>1015</v>
      </c>
      <c r="E10" s="37" t="s">
        <v>1016</v>
      </c>
      <c r="F10" s="5">
        <v>129</v>
      </c>
      <c r="G10" s="5" t="s">
        <v>10</v>
      </c>
      <c r="H10" s="9" t="s">
        <v>1017</v>
      </c>
    </row>
    <row r="11" ht="77" customHeight="1" spans="1:8">
      <c r="A11" s="5">
        <v>8</v>
      </c>
      <c r="B11" s="5" t="s">
        <v>1018</v>
      </c>
      <c r="C11" s="6" t="str">
        <f>_xlfn.DISPIMG("ID_EA11B73BEFF34855AD5203DF44A390F2",1)</f>
        <v>=DISPIMG("ID_EA11B73BEFF34855AD5203DF44A390F2",1)</v>
      </c>
      <c r="D11" s="5" t="s">
        <v>1019</v>
      </c>
      <c r="E11" s="6" t="s">
        <v>227</v>
      </c>
      <c r="F11" s="8">
        <v>230</v>
      </c>
      <c r="G11" s="8" t="s">
        <v>71</v>
      </c>
      <c r="H11" s="32" t="s">
        <v>1020</v>
      </c>
    </row>
    <row r="12" ht="76" customHeight="1" spans="1:9">
      <c r="A12" s="5">
        <v>9</v>
      </c>
      <c r="B12" s="5" t="s">
        <v>229</v>
      </c>
      <c r="C12" s="8" t="str">
        <f>_xlfn.DISPIMG("ID_4484D31038E14C47877238F7E5E08009",1)</f>
        <v>=DISPIMG("ID_4484D31038E14C47877238F7E5E08009",1)</v>
      </c>
      <c r="D12" s="5" t="s">
        <v>1021</v>
      </c>
      <c r="E12" s="6" t="s">
        <v>230</v>
      </c>
      <c r="F12" s="8">
        <v>230</v>
      </c>
      <c r="G12" s="8" t="s">
        <v>58</v>
      </c>
      <c r="H12" s="32" t="s">
        <v>1022</v>
      </c>
      <c r="I12" s="44"/>
    </row>
    <row r="13" ht="43" customHeight="1" spans="1:9">
      <c r="A13" s="5">
        <v>10</v>
      </c>
      <c r="B13" s="8" t="s">
        <v>1023</v>
      </c>
      <c r="C13" s="38" t="str">
        <f>_xlfn.DISPIMG("ID_177F9A41923D4D9B8A2B4BF2D6076AA0",1)</f>
        <v>=DISPIMG("ID_177F9A41923D4D9B8A2B4BF2D6076AA0",1)</v>
      </c>
      <c r="D13" s="5" t="s">
        <v>1024</v>
      </c>
      <c r="E13" s="34" t="s">
        <v>1025</v>
      </c>
      <c r="F13" s="5">
        <v>270</v>
      </c>
      <c r="G13" s="8" t="s">
        <v>71</v>
      </c>
      <c r="H13" s="32" t="s">
        <v>1026</v>
      </c>
      <c r="I13" s="44"/>
    </row>
    <row r="14" ht="38" customHeight="1" spans="1:9">
      <c r="A14" s="5">
        <v>11</v>
      </c>
      <c r="B14" s="8" t="s">
        <v>1027</v>
      </c>
      <c r="C14" s="38"/>
      <c r="D14" s="39" t="s">
        <v>1028</v>
      </c>
      <c r="E14" s="34" t="s">
        <v>1029</v>
      </c>
      <c r="F14" s="5">
        <v>1080</v>
      </c>
      <c r="G14" s="8" t="s">
        <v>58</v>
      </c>
      <c r="H14" s="32" t="s">
        <v>1030</v>
      </c>
      <c r="I14" s="44"/>
    </row>
    <row r="15" ht="121" customHeight="1" spans="1:9">
      <c r="A15" s="5">
        <v>12</v>
      </c>
      <c r="B15" s="40" t="s">
        <v>1031</v>
      </c>
      <c r="C15" s="41" t="str">
        <f>_xlfn.DISPIMG("ID_D74497FA35ED4020B9612EDE99721062",1)</f>
        <v>=DISPIMG("ID_D74497FA35ED4020B9612EDE99721062",1)</v>
      </c>
      <c r="D15" s="5" t="s">
        <v>1032</v>
      </c>
      <c r="E15" s="42" t="s">
        <v>1033</v>
      </c>
      <c r="F15" s="5">
        <v>32</v>
      </c>
      <c r="G15" s="8" t="s">
        <v>13</v>
      </c>
      <c r="H15" s="32" t="s">
        <v>1034</v>
      </c>
      <c r="I15" s="44"/>
    </row>
    <row r="16" ht="121" customHeight="1" spans="1:9">
      <c r="A16" s="5">
        <v>13</v>
      </c>
      <c r="B16" s="40" t="s">
        <v>1035</v>
      </c>
      <c r="C16" s="41" t="str">
        <f>_xlfn.DISPIMG("ID_1DE2340E6FD34343A3965CC12693CD76",1)</f>
        <v>=DISPIMG("ID_1DE2340E6FD34343A3965CC12693CD76",1)</v>
      </c>
      <c r="D16" s="5" t="s">
        <v>1036</v>
      </c>
      <c r="E16" s="43" t="s">
        <v>1037</v>
      </c>
      <c r="F16" s="5">
        <v>3</v>
      </c>
      <c r="G16" s="8" t="s">
        <v>13</v>
      </c>
      <c r="H16" s="32" t="s">
        <v>1038</v>
      </c>
      <c r="I16" s="44"/>
    </row>
  </sheetData>
  <mergeCells count="6">
    <mergeCell ref="A1:H1"/>
    <mergeCell ref="A5:A6"/>
    <mergeCell ref="B5:B6"/>
    <mergeCell ref="C5:C6"/>
    <mergeCell ref="C13:C14"/>
    <mergeCell ref="H5:H6"/>
  </mergeCells>
  <pageMargins left="0.550694444444444" right="0.472222222222222" top="0.354166666666667" bottom="0.472222222222222" header="0.275" footer="0.236111111111111"/>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11</vt:i4>
      </vt:variant>
    </vt:vector>
  </HeadingPairs>
  <TitlesOfParts>
    <vt:vector size="11" baseType="lpstr">
      <vt:lpstr>音乐、语言教室</vt:lpstr>
      <vt:lpstr>科学教室</vt:lpstr>
      <vt:lpstr>心理咨询、观察</vt:lpstr>
      <vt:lpstr>卫生保健</vt:lpstr>
      <vt:lpstr>计算机教室</vt:lpstr>
      <vt:lpstr>劳动教室</vt:lpstr>
      <vt:lpstr>书法美术</vt:lpstr>
      <vt:lpstr>体质测试室</vt:lpstr>
      <vt:lpstr>舞蹈教室</vt:lpstr>
      <vt:lpstr>体育用品</vt:lpstr>
      <vt:lpstr>其它学校 增补项目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小草</cp:lastModifiedBy>
  <dcterms:created xsi:type="dcterms:W3CDTF">2025-06-10T23:41:00Z</dcterms:created>
  <dcterms:modified xsi:type="dcterms:W3CDTF">2025-10-14T01:53:26Z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B3B33A5B9F2E4870AF8D023C5816A905_13</vt:lpwstr>
  </property>
  <property fmtid="{D5CDD505-2E9C-101B-9397-08002B2CF9AE}" pid="3" name="KSOProductBuildVer">
    <vt:lpwstr>2052-12.1.0.22529</vt:lpwstr>
  </property>
</Properties>
</file>